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3.xml" ContentType="application/vnd.openxmlformats-officedocument.drawingml.chart+xml"/>
  <Override PartName="/xl/drawings/drawing8.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3.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drawings/drawing11.xml" ContentType="application/vnd.openxmlformats-officedocument.drawing+xml"/>
  <Override PartName="/xl/comments4.xml" ContentType="application/vnd.openxmlformats-officedocument.spreadsheetml.comments+xml"/>
  <Override PartName="/xl/charts/chart7.xml" ContentType="application/vnd.openxmlformats-officedocument.drawingml.chart+xml"/>
  <Override PartName="/xl/drawings/drawing12.xml" ContentType="application/vnd.openxmlformats-officedocument.drawingml.chartshapes+xml"/>
  <Override PartName="/xl/charts/chart8.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omments5.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harts/chart9.xml" ContentType="application/vnd.openxmlformats-officedocument.drawingml.chart+xml"/>
  <Override PartName="/xl/drawings/drawing1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18.xml" ContentType="application/vnd.openxmlformats-officedocument.drawing+xml"/>
  <Override PartName="/xl/comments6.xml" ContentType="application/vnd.openxmlformats-officedocument.spreadsheetml.comments+xml"/>
  <Override PartName="/xl/charts/chart12.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3.xml" ContentType="application/vnd.openxmlformats-officedocument.drawingml.chart+xml"/>
  <Override PartName="/xl/drawings/drawing21.xml" ContentType="application/vnd.openxmlformats-officedocument.drawingml.chartshapes+xml"/>
  <Override PartName="/xl/charts/chart14.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omments7.xml" ContentType="application/vnd.openxmlformats-officedocument.spreadsheetml.comments+xml"/>
  <Override PartName="/xl/charts/chart15.xml" ContentType="application/vnd.openxmlformats-officedocument.drawingml.chart+xml"/>
  <Override PartName="/xl/charts/chart16.xml" ContentType="application/vnd.openxmlformats-officedocument.drawingml.chart+xml"/>
  <Override PartName="/xl/drawings/drawing24.xml" ContentType="application/vnd.openxmlformats-officedocument.drawing+xml"/>
  <Override PartName="/xl/charts/chart17.xml" ContentType="application/vnd.openxmlformats-officedocument.drawingml.chart+xml"/>
  <Override PartName="/xl/drawings/drawing25.xml" ContentType="application/vnd.openxmlformats-officedocument.drawing+xml"/>
  <Override PartName="/xl/comments8.xml" ContentType="application/vnd.openxmlformats-officedocument.spreadsheetml.comments+xml"/>
  <Override PartName="/xl/charts/chart18.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omments9.xml" ContentType="application/vnd.openxmlformats-officedocument.spreadsheetml.comments+xml"/>
  <Override PartName="/xl/charts/chart19.xml" ContentType="application/vnd.openxmlformats-officedocument.drawingml.chart+xml"/>
  <Override PartName="/xl/charts/chart20.xml" ContentType="application/vnd.openxmlformats-officedocument.drawingml.chart+xml"/>
  <Override PartName="/xl/drawings/drawing28.xml" ContentType="application/vnd.openxmlformats-officedocument.drawing+xml"/>
  <Override PartName="/xl/comments10.xml" ContentType="application/vnd.openxmlformats-officedocument.spreadsheetml.comments+xml"/>
  <Override PartName="/xl/charts/chart21.xml" ContentType="application/vnd.openxmlformats-officedocument.drawingml.chart+xml"/>
  <Override PartName="/xl/drawings/drawing29.xml" ContentType="application/vnd.openxmlformats-officedocument.drawing+xml"/>
  <Override PartName="/xl/comments11.xml" ContentType="application/vnd.openxmlformats-officedocument.spreadsheetml.comments+xml"/>
  <Override PartName="/xl/drawings/drawing30.xml" ContentType="application/vnd.openxmlformats-officedocument.drawing+xml"/>
  <Override PartName="/xl/comments12.xml" ContentType="application/vnd.openxmlformats-officedocument.spreadsheetml.comments+xml"/>
  <Override PartName="/xl/drawings/drawing31.xml" ContentType="application/vnd.openxmlformats-officedocument.drawing+xml"/>
  <Override PartName="/xl/comments13.xml" ContentType="application/vnd.openxmlformats-officedocument.spreadsheetml.comments+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ussnas\財務部\50_開示・IR資料関連\50_DATABOOK\2603\"/>
    </mc:Choice>
  </mc:AlternateContent>
  <bookViews>
    <workbookView xWindow="0" yWindow="0" windowWidth="25200" windowHeight="10920" tabRatio="856"/>
  </bookViews>
  <sheets>
    <sheet name="表紙" sheetId="2" r:id="rId1"/>
    <sheet name="目次" sheetId="3" r:id="rId2"/>
    <sheet name="Ⅰ_主要ﾃﾞｰﾀ" sheetId="4" r:id="rId3"/>
    <sheet name="Ⅱ-1-(1)_自動車業界関連指標" sheetId="5" r:id="rId4"/>
    <sheet name="Ⅱ-1-(2)_中古車輸出台数" sheetId="6" r:id="rId5"/>
    <sheet name="Ⅱ-1-(3)_業態別AA出品台数" sheetId="7" r:id="rId6"/>
    <sheet name="Ⅱ-1-(4)_業界ｸﾞﾙｰﾌﾟ別出品台数" sheetId="8" r:id="rId7"/>
    <sheet name="Ⅱ-1-(5)_USS会場別出品台数ﾗﾝｷﾝｸﾞ" sheetId="9" r:id="rId8"/>
    <sheet name="Ⅱ-1-(6)_地域別出品台数ﾗﾝｷﾝｸﾞ" sheetId="10" r:id="rId9"/>
    <sheet name="Ⅱ-1-(7)_二輪車業界指標" sheetId="11" r:id="rId10"/>
    <sheet name="Ⅱ-2-(1)_会場別AA実績" sheetId="12" r:id="rId11"/>
    <sheet name="Ⅱ-2-(2)_AA実績月次推移" sheetId="13" r:id="rId12"/>
    <sheet name="Ⅲ-1-(1)_ｾｸﾞﾒﾝﾄの状況" sheetId="14" r:id="rId13"/>
    <sheet name="Ⅲ-1-(2)_AAｾｸﾞﾒﾝﾄ売上推移" sheetId="15" r:id="rId14"/>
    <sheet name="Ⅲ-1-(3)_AAｾｸﾞﾒﾝﾄ売上内訳" sheetId="16" r:id="rId15"/>
    <sheet name="Ⅲ-1-(4)_AAｾｸﾞﾒﾝﾄ低額車推移" sheetId="17" r:id="rId16"/>
    <sheet name="Ⅲ-1-(5)_AAｾｸﾞﾒﾝﾄ会員数および外部落札" sheetId="18" r:id="rId17"/>
    <sheet name="Ⅲ-1-(6)_AAｾｸﾞﾒﾝﾄﾊﾞｲｸｵｰｸｼｮﾝ実績" sheetId="19" r:id="rId18"/>
    <sheet name="Ⅲ-1-(7)_中古車買取販売ｾｸﾞﾒﾝﾄ売上推移" sheetId="20" r:id="rId19"/>
    <sheet name="Ⅲ-1-(8)_ﾘｻｲｸﾙ7ｾｸﾞﾒﾝﾄ売上推移" sheetId="21" r:id="rId20"/>
    <sheet name="Ⅲ-2-(1)_連結PL" sheetId="22" r:id="rId21"/>
    <sheet name="Ⅲ-2-(2)_連結BS" sheetId="23" r:id="rId22"/>
    <sheet name="Ⅲ-2-(3)_連結CF" sheetId="24" r:id="rId23"/>
    <sheet name="Ⅲ-2-(4)_来期計画" sheetId="25" r:id="rId24"/>
    <sheet name="Ⅳ_計算式" sheetId="26" r:id="rId25"/>
    <sheet name="Ⅴ_注記事項(1)" sheetId="27" r:id="rId26"/>
    <sheet name="Ⅴ_注記事項(2)" sheetId="28" r:id="rId27"/>
    <sheet name="Ⅴ_注記事項(3)" sheetId="29" r:id="rId28"/>
    <sheet name="取扱の注意" sheetId="30" r:id="rId29"/>
  </sheets>
  <definedNames>
    <definedName name="_xlnm._FilterDatabase" localSheetId="5" hidden="1">'Ⅱ-1-(3)_業態別AA出品台数'!$S$5:$AF$14</definedName>
    <definedName name="_xlnm._FilterDatabase" localSheetId="10" hidden="1">'Ⅱ-2-(1)_会場別AA実績'!$Q$37:$R$37</definedName>
    <definedName name="_xlnm._FilterDatabase" localSheetId="22" hidden="1">'Ⅲ-2-(3)_連結CF'!$A$63:$AQ$63</definedName>
    <definedName name="_xlnm.Print_Area" localSheetId="2">Ⅰ_主要ﾃﾞｰﾀ!$A$1:$S$42</definedName>
    <definedName name="_xlnm.Print_Area" localSheetId="3">'Ⅱ-1-(1)_自動車業界関連指標'!$A$1:$Q$35</definedName>
    <definedName name="_xlnm.Print_Area" localSheetId="4">'Ⅱ-1-(2)_中古車輸出台数'!$A$1:$Q$32</definedName>
    <definedName name="_xlnm.Print_Area" localSheetId="5">'Ⅱ-1-(3)_業態別AA出品台数'!$A$1:$Q$33</definedName>
    <definedName name="_xlnm.Print_Area" localSheetId="6">'Ⅱ-1-(4)_業界ｸﾞﾙｰﾌﾟ別出品台数'!$A$1:$AB$39</definedName>
    <definedName name="_xlnm.Print_Area" localSheetId="7">'Ⅱ-1-(5)_USS会場別出品台数ﾗﾝｷﾝｸﾞ'!$A$1:$Y$19</definedName>
    <definedName name="_xlnm.Print_Area" localSheetId="8">'Ⅱ-1-(6)_地域別出品台数ﾗﾝｷﾝｸﾞ'!$A$1:$Y$35</definedName>
    <definedName name="_xlnm.Print_Area" localSheetId="9">'Ⅱ-1-(7)_二輪車業界指標'!$A$1:$AC$46</definedName>
    <definedName name="_xlnm.Print_Area" localSheetId="10">'Ⅱ-2-(1)_会場別AA実績'!$A$1:$N$35</definedName>
    <definedName name="_xlnm.Print_Area" localSheetId="11">'Ⅱ-2-(2)_AA実績月次推移'!$A$1:$S$34</definedName>
    <definedName name="_xlnm.Print_Area" localSheetId="12">'Ⅲ-1-(1)_ｾｸﾞﾒﾝﾄの状況'!$A$1:$R$43</definedName>
    <definedName name="_xlnm.Print_Area" localSheetId="13">'Ⅲ-1-(2)_AAｾｸﾞﾒﾝﾄ売上推移'!$A$1:$Q$35</definedName>
    <definedName name="_xlnm.Print_Area" localSheetId="14">'Ⅲ-1-(3)_AAｾｸﾞﾒﾝﾄ売上内訳'!$A$1:$Q$48</definedName>
    <definedName name="_xlnm.Print_Area" localSheetId="15">'Ⅲ-1-(4)_AAｾｸﾞﾒﾝﾄ低額車推移'!$A$1:$P$40</definedName>
    <definedName name="_xlnm.Print_Area" localSheetId="16">'Ⅲ-1-(5)_AAｾｸﾞﾒﾝﾄ会員数および外部落札'!$A$1:$R$41</definedName>
    <definedName name="_xlnm.Print_Area" localSheetId="17">'Ⅲ-1-(6)_AAｾｸﾞﾒﾝﾄﾊﾞｲｸｵｰｸｼｮﾝ実績'!$A$1:$S$34</definedName>
    <definedName name="_xlnm.Print_Area" localSheetId="18">'Ⅲ-1-(7)_中古車買取販売ｾｸﾞﾒﾝﾄ売上推移'!$A$1:$S$37</definedName>
    <definedName name="_xlnm.Print_Area" localSheetId="19">'Ⅲ-1-(8)_ﾘｻｲｸﾙ7ｾｸﾞﾒﾝﾄ売上推移'!$A$1:$S$61</definedName>
    <definedName name="_xlnm.Print_Area" localSheetId="20">'Ⅲ-2-(1)_連結PL'!$A$1:$Q$45</definedName>
    <definedName name="_xlnm.Print_Area" localSheetId="21">'Ⅲ-2-(2)_連結BS'!$A$1:$V$67</definedName>
    <definedName name="_xlnm.Print_Area" localSheetId="22">'Ⅲ-2-(3)_連結CF'!$A$1:$Q$46</definedName>
    <definedName name="_xlnm.Print_Area" localSheetId="23">'Ⅲ-2-(4)_来期計画'!$A$1:$M$62</definedName>
    <definedName name="_xlnm.Print_Area" localSheetId="24">Ⅳ_計算式!$A$1:$O$40</definedName>
    <definedName name="_xlnm.Print_Area" localSheetId="25">'Ⅴ_注記事項(1)'!$A$1:$U$49</definedName>
    <definedName name="_xlnm.Print_Area" localSheetId="26">'Ⅴ_注記事項(2)'!$A$1:$U$52</definedName>
    <definedName name="_xlnm.Print_Area" localSheetId="27">'Ⅴ_注記事項(3)'!$A$1:$U$52</definedName>
    <definedName name="_xlnm.Print_Area" localSheetId="28">取扱の注意!$C$10:$E$21</definedName>
    <definedName name="_xlnm.Print_Area" localSheetId="0">表紙!$A$1:$L$19</definedName>
    <definedName name="_xlnm.Print_Area" localSheetId="1">目次!$A$1:$N$23</definedName>
    <definedName name="Z_06451E13_97D0_44F4_875B_E8D80B2F1CF1_.wvu.Cols" localSheetId="6" hidden="1">'Ⅱ-1-(4)_業界ｸﾞﾙｰﾌﾟ別出品台数'!$C:$C</definedName>
    <definedName name="Z_06451E13_97D0_44F4_875B_E8D80B2F1CF1_.wvu.Cols" localSheetId="21" hidden="1">'Ⅲ-2-(2)_連結BS'!$F:$G</definedName>
    <definedName name="Z_06451E13_97D0_44F4_875B_E8D80B2F1CF1_.wvu.FilterData" localSheetId="5" hidden="1">'Ⅱ-1-(3)_業態別AA出品台数'!$S$5:$AF$14</definedName>
    <definedName name="Z_06451E13_97D0_44F4_875B_E8D80B2F1CF1_.wvu.FilterData" localSheetId="10" hidden="1">'Ⅱ-2-(1)_会場別AA実績'!$Q$37:$R$37</definedName>
    <definedName name="Z_06451E13_97D0_44F4_875B_E8D80B2F1CF1_.wvu.FilterData" localSheetId="22" hidden="1">'Ⅲ-2-(3)_連結CF'!$A$63:$AQ$63</definedName>
    <definedName name="Z_06451E13_97D0_44F4_875B_E8D80B2F1CF1_.wvu.PrintArea" localSheetId="2" hidden="1">Ⅰ_主要ﾃﾞｰﾀ!$A$1:$S$42</definedName>
    <definedName name="Z_06451E13_97D0_44F4_875B_E8D80B2F1CF1_.wvu.PrintArea" localSheetId="3" hidden="1">'Ⅱ-1-(1)_自動車業界関連指標'!$A$1:$Q$35</definedName>
    <definedName name="Z_06451E13_97D0_44F4_875B_E8D80B2F1CF1_.wvu.PrintArea" localSheetId="4" hidden="1">'Ⅱ-1-(2)_中古車輸出台数'!$A$1:$Q$32</definedName>
    <definedName name="Z_06451E13_97D0_44F4_875B_E8D80B2F1CF1_.wvu.PrintArea" localSheetId="5" hidden="1">'Ⅱ-1-(3)_業態別AA出品台数'!$A$1:$Q$33</definedName>
    <definedName name="Z_06451E13_97D0_44F4_875B_E8D80B2F1CF1_.wvu.PrintArea" localSheetId="6" hidden="1">'Ⅱ-1-(4)_業界ｸﾞﾙｰﾌﾟ別出品台数'!$A$1:$AB$39</definedName>
    <definedName name="Z_06451E13_97D0_44F4_875B_E8D80B2F1CF1_.wvu.PrintArea" localSheetId="7" hidden="1">'Ⅱ-1-(5)_USS会場別出品台数ﾗﾝｷﾝｸﾞ'!$A$1:$Y$19</definedName>
    <definedName name="Z_06451E13_97D0_44F4_875B_E8D80B2F1CF1_.wvu.PrintArea" localSheetId="8" hidden="1">'Ⅱ-1-(6)_地域別出品台数ﾗﾝｷﾝｸﾞ'!$A$1:$Y$35</definedName>
    <definedName name="Z_06451E13_97D0_44F4_875B_E8D80B2F1CF1_.wvu.PrintArea" localSheetId="9" hidden="1">'Ⅱ-1-(7)_二輪車業界指標'!$A$1:$AC$46</definedName>
    <definedName name="Z_06451E13_97D0_44F4_875B_E8D80B2F1CF1_.wvu.PrintArea" localSheetId="10" hidden="1">'Ⅱ-2-(1)_会場別AA実績'!$A$1:$N$35</definedName>
    <definedName name="Z_06451E13_97D0_44F4_875B_E8D80B2F1CF1_.wvu.PrintArea" localSheetId="11" hidden="1">'Ⅱ-2-(2)_AA実績月次推移'!$A$1:$S$34</definedName>
    <definedName name="Z_06451E13_97D0_44F4_875B_E8D80B2F1CF1_.wvu.PrintArea" localSheetId="12" hidden="1">'Ⅲ-1-(1)_ｾｸﾞﾒﾝﾄの状況'!$A$1:$R$43</definedName>
    <definedName name="Z_06451E13_97D0_44F4_875B_E8D80B2F1CF1_.wvu.PrintArea" localSheetId="13" hidden="1">'Ⅲ-1-(2)_AAｾｸﾞﾒﾝﾄ売上推移'!$A$1:$Q$35</definedName>
    <definedName name="Z_06451E13_97D0_44F4_875B_E8D80B2F1CF1_.wvu.PrintArea" localSheetId="14" hidden="1">'Ⅲ-1-(3)_AAｾｸﾞﾒﾝﾄ売上内訳'!$A$1:$Q$48</definedName>
    <definedName name="Z_06451E13_97D0_44F4_875B_E8D80B2F1CF1_.wvu.PrintArea" localSheetId="15" hidden="1">'Ⅲ-1-(4)_AAｾｸﾞﾒﾝﾄ低額車推移'!$A$1:$P$40</definedName>
    <definedName name="Z_06451E13_97D0_44F4_875B_E8D80B2F1CF1_.wvu.PrintArea" localSheetId="16" hidden="1">'Ⅲ-1-(5)_AAｾｸﾞﾒﾝﾄ会員数および外部落札'!$A$1:$R$41</definedName>
    <definedName name="Z_06451E13_97D0_44F4_875B_E8D80B2F1CF1_.wvu.PrintArea" localSheetId="17" hidden="1">'Ⅲ-1-(6)_AAｾｸﾞﾒﾝﾄﾊﾞｲｸｵｰｸｼｮﾝ実績'!$A$1:$S$34</definedName>
    <definedName name="Z_06451E13_97D0_44F4_875B_E8D80B2F1CF1_.wvu.PrintArea" localSheetId="18" hidden="1">'Ⅲ-1-(7)_中古車買取販売ｾｸﾞﾒﾝﾄ売上推移'!$A$1:$S$37</definedName>
    <definedName name="Z_06451E13_97D0_44F4_875B_E8D80B2F1CF1_.wvu.PrintArea" localSheetId="19" hidden="1">'Ⅲ-1-(8)_ﾘｻｲｸﾙ7ｾｸﾞﾒﾝﾄ売上推移'!$A$1:$S$61</definedName>
    <definedName name="Z_06451E13_97D0_44F4_875B_E8D80B2F1CF1_.wvu.PrintArea" localSheetId="20" hidden="1">'Ⅲ-2-(1)_連結PL'!$A$1:$Q$45</definedName>
    <definedName name="Z_06451E13_97D0_44F4_875B_E8D80B2F1CF1_.wvu.PrintArea" localSheetId="21" hidden="1">'Ⅲ-2-(2)_連結BS'!$A$1:$V$67</definedName>
    <definedName name="Z_06451E13_97D0_44F4_875B_E8D80B2F1CF1_.wvu.PrintArea" localSheetId="22" hidden="1">'Ⅲ-2-(3)_連結CF'!$A$1:$Q$46</definedName>
    <definedName name="Z_06451E13_97D0_44F4_875B_E8D80B2F1CF1_.wvu.PrintArea" localSheetId="23" hidden="1">'Ⅲ-2-(4)_来期計画'!$A$1:$M$62</definedName>
    <definedName name="Z_06451E13_97D0_44F4_875B_E8D80B2F1CF1_.wvu.PrintArea" localSheetId="24" hidden="1">Ⅳ_計算式!$A$1:$O$40</definedName>
    <definedName name="Z_06451E13_97D0_44F4_875B_E8D80B2F1CF1_.wvu.PrintArea" localSheetId="25" hidden="1">'Ⅴ_注記事項(1)'!$A$1:$U$49</definedName>
    <definedName name="Z_06451E13_97D0_44F4_875B_E8D80B2F1CF1_.wvu.PrintArea" localSheetId="26" hidden="1">'Ⅴ_注記事項(2)'!$A$1:$U$52</definedName>
    <definedName name="Z_06451E13_97D0_44F4_875B_E8D80B2F1CF1_.wvu.PrintArea" localSheetId="27" hidden="1">'Ⅴ_注記事項(3)'!$A$1:$U$52</definedName>
    <definedName name="Z_06451E13_97D0_44F4_875B_E8D80B2F1CF1_.wvu.PrintArea" localSheetId="28" hidden="1">取扱の注意!$C$10:$E$21</definedName>
    <definedName name="Z_06451E13_97D0_44F4_875B_E8D80B2F1CF1_.wvu.PrintArea" localSheetId="0" hidden="1">表紙!$A$1:$L$19</definedName>
    <definedName name="Z_06451E13_97D0_44F4_875B_E8D80B2F1CF1_.wvu.PrintArea" localSheetId="1" hidden="1">目次!$A$1:$N$23</definedName>
    <definedName name="Z_06451E13_97D0_44F4_875B_E8D80B2F1CF1_.wvu.Rows" localSheetId="5" hidden="1">'Ⅱ-1-(3)_業態別AA出品台数'!$15:$15,'Ⅱ-1-(3)_業態別AA出品台数'!$25:$27</definedName>
    <definedName name="Z_06451E13_97D0_44F4_875B_E8D80B2F1CF1_.wvu.Rows" localSheetId="6" hidden="1">'Ⅱ-1-(4)_業界ｸﾞﾙｰﾌﾟ別出品台数'!$19:$20,'Ⅱ-1-(4)_業界ｸﾞﾙｰﾌﾟ別出品台数'!$22:$23</definedName>
    <definedName name="Z_06451E13_97D0_44F4_875B_E8D80B2F1CF1_.wvu.Rows" localSheetId="9" hidden="1">'Ⅱ-1-(7)_二輪車業界指標'!$13:$22</definedName>
    <definedName name="Z_06451E13_97D0_44F4_875B_E8D80B2F1CF1_.wvu.Rows" localSheetId="10" hidden="1">'Ⅱ-2-(1)_会場別AA実績'!$28:$31</definedName>
    <definedName name="Z_06451E13_97D0_44F4_875B_E8D80B2F1CF1_.wvu.Rows" localSheetId="11" hidden="1">'Ⅱ-2-(2)_AA実績月次推移'!$6:$6,'Ⅱ-2-(2)_AA実績月次推移'!$13:$13,'Ⅱ-2-(2)_AA実績月次推移'!$23:$29</definedName>
    <definedName name="Z_06451E13_97D0_44F4_875B_E8D80B2F1CF1_.wvu.Rows" localSheetId="14" hidden="1">'Ⅲ-1-(3)_AAｾｸﾞﾒﾝﾄ売上内訳'!$14:$14</definedName>
    <definedName name="Z_06451E13_97D0_44F4_875B_E8D80B2F1CF1_.wvu.Rows" localSheetId="16" hidden="1">'Ⅲ-1-(5)_AAｾｸﾞﾒﾝﾄ会員数および外部落札'!$10:$11,'Ⅲ-1-(5)_AAｾｸﾞﾒﾝﾄ会員数および外部落札'!$22:$24,'Ⅲ-1-(5)_AAｾｸﾞﾒﾝﾄ会員数および外部落札'!$28:$28</definedName>
    <definedName name="Z_06451E13_97D0_44F4_875B_E8D80B2F1CF1_.wvu.Rows" localSheetId="19" hidden="1">'Ⅲ-1-(8)_ﾘｻｲｸﾙ7ｾｸﾞﾒﾝﾄ売上推移'!$16:$34</definedName>
    <definedName name="Z_06451E13_97D0_44F4_875B_E8D80B2F1CF1_.wvu.Rows" localSheetId="20" hidden="1">'Ⅲ-2-(1)_連結PL'!$26:$29</definedName>
    <definedName name="Z_06451E13_97D0_44F4_875B_E8D80B2F1CF1_.wvu.Rows" localSheetId="21" hidden="1">'Ⅲ-2-(2)_連結BS'!$17:$17,'Ⅲ-2-(2)_連結BS'!$26:$26,'Ⅲ-2-(2)_連結BS'!$36:$36,'Ⅲ-2-(2)_連結BS'!$51:$53,'Ⅲ-2-(2)_連結BS'!$58:$63</definedName>
    <definedName name="Z_06451E13_97D0_44F4_875B_E8D80B2F1CF1_.wvu.Rows" localSheetId="22" hidden="1">'Ⅲ-2-(3)_連結CF'!$14:$14,'Ⅲ-2-(3)_連結CF'!$17:$17,'Ⅲ-2-(3)_連結CF'!$23:$23,'Ⅲ-2-(3)_連結CF'!$33:$33</definedName>
    <definedName name="Z_06451E13_97D0_44F4_875B_E8D80B2F1CF1_.wvu.Rows" localSheetId="23" hidden="1">'Ⅲ-2-(4)_来期計画'!$23:$24,'Ⅲ-2-(4)_来期計画'!$27:$29,'Ⅲ-2-(4)_来期計画'!$36:$37,'Ⅲ-2-(4)_来期計画'!#REF!</definedName>
    <definedName name="Z_06451E13_97D0_44F4_875B_E8D80B2F1CF1_.wvu.Rows" localSheetId="0" hidden="1">表紙!$21:$21</definedName>
    <definedName name="Z_06451E13_97D0_44F4_875B_E8D80B2F1CF1_.wvu.Rows" localSheetId="1" hidden="1">目次!$15:$15</definedName>
  </definedNames>
  <calcPr calcId="162913" calcMode="manual"/>
  <customWorkbookViews>
    <customWorkbookView name="牧野　広樹 - 個人用ビュー" guid="{06451E13-97D0-44F4-875B-E8D80B2F1CF1}" mergeInterval="0" personalView="1" maximized="1" xWindow="1672" yWindow="-8" windowWidth="1696" windowHeight="1018" tabRatio="856" activeSheetId="2"/>
  </customWorkbookViews>
</workbook>
</file>

<file path=xl/calcChain.xml><?xml version="1.0" encoding="utf-8"?>
<calcChain xmlns="http://schemas.openxmlformats.org/spreadsheetml/2006/main">
  <c r="S23" i="6" l="1"/>
  <c r="S24" i="6"/>
  <c r="S25" i="6"/>
  <c r="S26" i="6"/>
  <c r="S27" i="6"/>
  <c r="S28" i="6"/>
  <c r="S29" i="6"/>
  <c r="S30" i="6"/>
  <c r="V43" i="6"/>
  <c r="W43" i="6"/>
  <c r="X43" i="6"/>
  <c r="Y43" i="6"/>
  <c r="Z43" i="6"/>
  <c r="AA43" i="6"/>
  <c r="AB43" i="6"/>
  <c r="AC43" i="6"/>
  <c r="AD43" i="6"/>
  <c r="AE43" i="6"/>
  <c r="U43" i="6"/>
  <c r="AF37" i="6"/>
  <c r="AF38" i="6"/>
  <c r="AF39" i="6"/>
  <c r="AF40" i="6"/>
  <c r="AF41" i="6"/>
  <c r="AF42" i="6"/>
  <c r="AF36" i="6"/>
  <c r="X30" i="11" l="1"/>
  <c r="V30" i="11"/>
  <c r="N30" i="11"/>
  <c r="L30" i="11"/>
  <c r="J30" i="11"/>
  <c r="H30" i="11"/>
  <c r="S15" i="23" l="1"/>
  <c r="AJ9" i="18"/>
  <c r="AI9" i="18"/>
  <c r="AJ8" i="18"/>
  <c r="AI8" i="18"/>
  <c r="AJ7" i="18"/>
  <c r="AI7" i="18"/>
  <c r="K55" i="25"/>
  <c r="AK9" i="18" l="1"/>
  <c r="AK7" i="18"/>
  <c r="AK8" i="18"/>
  <c r="AL51" i="25"/>
  <c r="AL50" i="25"/>
  <c r="AL49" i="25"/>
  <c r="AL48" i="25"/>
  <c r="AL47" i="25"/>
  <c r="AL46" i="25"/>
  <c r="AL45" i="25"/>
  <c r="AL43" i="25"/>
  <c r="AL42" i="25"/>
  <c r="AL35" i="25"/>
  <c r="AL34" i="25"/>
  <c r="AL33" i="25"/>
  <c r="AL32" i="25"/>
  <c r="AL31" i="25"/>
  <c r="AL30" i="25"/>
  <c r="AL29" i="25"/>
  <c r="AL28" i="25"/>
  <c r="AL27" i="25"/>
  <c r="AL25" i="25"/>
  <c r="AL24" i="25"/>
  <c r="AL23" i="25"/>
  <c r="AL22" i="25"/>
  <c r="AL21" i="25"/>
  <c r="AL19" i="25"/>
  <c r="AL18" i="25"/>
  <c r="AL17" i="25"/>
  <c r="AL15" i="25"/>
  <c r="AL14" i="25"/>
  <c r="AL13" i="25"/>
  <c r="AL12" i="25"/>
  <c r="AL11" i="25"/>
  <c r="AL10" i="25"/>
  <c r="AL9" i="25"/>
  <c r="P24" i="14"/>
  <c r="AI10" i="21" l="1"/>
  <c r="AI11" i="21"/>
  <c r="AF10" i="16"/>
  <c r="AI8" i="15"/>
  <c r="AJ8" i="15" s="1"/>
  <c r="AI7" i="15"/>
  <c r="AJ29" i="15" l="1"/>
  <c r="AJ28" i="15"/>
  <c r="AJ27" i="15"/>
  <c r="AJ7" i="15"/>
  <c r="AH25" i="22"/>
  <c r="AI25" i="22" s="1"/>
  <c r="AH24" i="22"/>
  <c r="AI24" i="22" s="1"/>
  <c r="AH17" i="22"/>
  <c r="AI17" i="22" s="1"/>
  <c r="AH13" i="22"/>
  <c r="AI13" i="22" s="1"/>
  <c r="AH7" i="22"/>
  <c r="AI7" i="22" s="1"/>
  <c r="S20" i="22"/>
  <c r="F40" i="21" l="1"/>
  <c r="W19" i="18" l="1"/>
  <c r="X19" i="18"/>
  <c r="Y19" i="18"/>
  <c r="Z19" i="18"/>
  <c r="AA19" i="18"/>
  <c r="AB19" i="18"/>
  <c r="AC19" i="18"/>
  <c r="AD19" i="18"/>
  <c r="AE19" i="18"/>
  <c r="AF19" i="18"/>
  <c r="V19" i="18"/>
  <c r="W19" i="19" l="1"/>
  <c r="BN26" i="8" l="1"/>
  <c r="BN32" i="8"/>
  <c r="BN31" i="8"/>
  <c r="P10" i="7" l="1"/>
  <c r="AV10" i="8" l="1"/>
  <c r="BC36" i="8" l="1"/>
  <c r="BB36" i="8"/>
  <c r="BA36" i="8"/>
  <c r="AZ36" i="8"/>
  <c r="AY36" i="8"/>
  <c r="AX36" i="8"/>
  <c r="AW36" i="8"/>
  <c r="AV36" i="8"/>
  <c r="AU36" i="8"/>
  <c r="AT36" i="8"/>
  <c r="AS36" i="8"/>
  <c r="AR36" i="8"/>
  <c r="AQ36" i="8"/>
  <c r="AP36" i="8"/>
  <c r="AO36" i="8"/>
  <c r="AN36" i="8"/>
  <c r="AM36" i="8"/>
  <c r="AL36" i="8"/>
  <c r="AK36" i="8"/>
  <c r="AJ36" i="8"/>
  <c r="AI36" i="8"/>
  <c r="AH36" i="8"/>
  <c r="AG36" i="8"/>
  <c r="AF36" i="8"/>
  <c r="AE36" i="8"/>
  <c r="BD36" i="8"/>
  <c r="L7" i="9" l="1"/>
  <c r="D15" i="8" l="1"/>
  <c r="D14" i="8"/>
  <c r="AN16" i="8"/>
  <c r="AN15" i="8"/>
  <c r="AL16" i="8"/>
  <c r="AL15" i="8"/>
  <c r="AJ16" i="8"/>
  <c r="AJ15" i="8"/>
  <c r="AJ14" i="8"/>
  <c r="AH16" i="8"/>
  <c r="AH15" i="8"/>
  <c r="L16" i="9"/>
  <c r="L15" i="9"/>
  <c r="L14" i="9"/>
  <c r="L13" i="9"/>
  <c r="L12" i="9"/>
  <c r="L11" i="9"/>
  <c r="L10" i="9"/>
  <c r="L9" i="9"/>
  <c r="L8" i="9"/>
  <c r="AC7" i="10" l="1"/>
  <c r="AC5" i="10"/>
  <c r="AS41" i="23" l="1"/>
  <c r="AR7" i="23" l="1"/>
  <c r="P16" i="23" l="1"/>
  <c r="P16" i="15"/>
  <c r="AG17" i="14"/>
  <c r="AG16" i="14"/>
  <c r="P19" i="13"/>
  <c r="P16" i="4"/>
  <c r="AO7" i="23" l="1"/>
  <c r="AG15" i="6"/>
  <c r="AG14" i="6"/>
  <c r="AF14" i="6"/>
  <c r="AG13" i="6"/>
  <c r="AF13" i="6"/>
  <c r="AG12" i="6"/>
  <c r="AF12" i="6"/>
  <c r="AG11" i="6"/>
  <c r="AF11" i="6"/>
  <c r="AG10" i="6"/>
  <c r="AF10" i="6"/>
  <c r="AG9" i="6"/>
  <c r="AF9" i="6"/>
  <c r="AG8" i="6"/>
  <c r="AF8" i="6"/>
  <c r="AE36" i="24" l="1"/>
  <c r="X36" i="24"/>
  <c r="AG18" i="24" l="1"/>
  <c r="AG28" i="24"/>
  <c r="AG36" i="24"/>
  <c r="AF36" i="24"/>
  <c r="N36" i="24" l="1"/>
  <c r="AF18" i="24"/>
  <c r="AE37" i="24"/>
  <c r="AF8" i="24"/>
  <c r="P27" i="4" l="1"/>
  <c r="AE28" i="6" l="1"/>
  <c r="AD28" i="6"/>
  <c r="AC28" i="6"/>
  <c r="AB28" i="6"/>
  <c r="AA28" i="6"/>
  <c r="Z28" i="6"/>
  <c r="Y28" i="6"/>
  <c r="X28" i="6"/>
  <c r="W28" i="6"/>
  <c r="V28" i="6"/>
  <c r="U28" i="6"/>
  <c r="AE27" i="6"/>
  <c r="AD27" i="6"/>
  <c r="AC27" i="6"/>
  <c r="AB27" i="6"/>
  <c r="AA27" i="6"/>
  <c r="Z27" i="6"/>
  <c r="Y27" i="6"/>
  <c r="X27" i="6"/>
  <c r="W27" i="6"/>
  <c r="V27" i="6"/>
  <c r="U27" i="6"/>
  <c r="AE26" i="6"/>
  <c r="AD26" i="6"/>
  <c r="AC26" i="6"/>
  <c r="AB26" i="6"/>
  <c r="AA26" i="6"/>
  <c r="Z26" i="6"/>
  <c r="Y26" i="6"/>
  <c r="X26" i="6"/>
  <c r="W26" i="6"/>
  <c r="V26" i="6"/>
  <c r="U26" i="6"/>
  <c r="AE25" i="6"/>
  <c r="AD25" i="6"/>
  <c r="AC25" i="6"/>
  <c r="AB25" i="6"/>
  <c r="AA25" i="6"/>
  <c r="Z25" i="6"/>
  <c r="Y25" i="6"/>
  <c r="X25" i="6"/>
  <c r="W25" i="6"/>
  <c r="V25" i="6"/>
  <c r="U25" i="6"/>
  <c r="AE24" i="6"/>
  <c r="AD24" i="6"/>
  <c r="AC24" i="6"/>
  <c r="AB24" i="6"/>
  <c r="AA24" i="6"/>
  <c r="Z24" i="6"/>
  <c r="Y24" i="6"/>
  <c r="X24" i="6"/>
  <c r="W24" i="6"/>
  <c r="V24" i="6"/>
  <c r="U24" i="6"/>
  <c r="AE23" i="6"/>
  <c r="AD23" i="6"/>
  <c r="AC23" i="6"/>
  <c r="AB23" i="6"/>
  <c r="AA23" i="6"/>
  <c r="Z23" i="6"/>
  <c r="Y23" i="6"/>
  <c r="X23" i="6"/>
  <c r="W23" i="6"/>
  <c r="V23" i="6"/>
  <c r="U23" i="6"/>
  <c r="N12" i="6"/>
  <c r="M12" i="6"/>
  <c r="L12" i="6"/>
  <c r="K12" i="6"/>
  <c r="J12" i="6"/>
  <c r="I12" i="6"/>
  <c r="H12" i="6"/>
  <c r="G12" i="6"/>
  <c r="F12" i="6"/>
  <c r="E12" i="6"/>
  <c r="D12" i="6"/>
  <c r="N11" i="6"/>
  <c r="M11" i="6"/>
  <c r="L11" i="6"/>
  <c r="K11" i="6"/>
  <c r="J11" i="6"/>
  <c r="I11" i="6"/>
  <c r="H11" i="6"/>
  <c r="G11" i="6"/>
  <c r="F11" i="6"/>
  <c r="E11" i="6"/>
  <c r="D11" i="6"/>
  <c r="N10" i="6"/>
  <c r="M10" i="6"/>
  <c r="L10" i="6"/>
  <c r="K10" i="6"/>
  <c r="J10" i="6"/>
  <c r="I10" i="6"/>
  <c r="H10" i="6"/>
  <c r="G10" i="6"/>
  <c r="F10" i="6"/>
  <c r="E10" i="6"/>
  <c r="D10" i="6"/>
  <c r="N9" i="6"/>
  <c r="M9" i="6"/>
  <c r="L9" i="6"/>
  <c r="K9" i="6"/>
  <c r="J9" i="6"/>
  <c r="I9" i="6"/>
  <c r="H9" i="6"/>
  <c r="G9" i="6"/>
  <c r="F9" i="6"/>
  <c r="E9" i="6"/>
  <c r="D9" i="6"/>
  <c r="N8" i="6"/>
  <c r="M8" i="6"/>
  <c r="L8" i="6"/>
  <c r="K8" i="6"/>
  <c r="J8" i="6"/>
  <c r="I8" i="6"/>
  <c r="H8" i="6"/>
  <c r="G8" i="6"/>
  <c r="F8" i="6"/>
  <c r="E8" i="6"/>
  <c r="D8" i="6"/>
  <c r="N7" i="6"/>
  <c r="M7" i="6"/>
  <c r="L7" i="6"/>
  <c r="K7" i="6"/>
  <c r="J7" i="6"/>
  <c r="I7" i="6"/>
  <c r="H7" i="6"/>
  <c r="G7" i="6"/>
  <c r="F7" i="6"/>
  <c r="E7" i="6"/>
  <c r="D7" i="6"/>
  <c r="D13" i="6"/>
  <c r="AF15" i="6"/>
  <c r="AG8" i="24" l="1"/>
  <c r="AD45" i="16" l="1"/>
  <c r="AD35" i="16" s="1"/>
  <c r="AC45" i="16"/>
  <c r="AB45" i="16"/>
  <c r="AA45" i="16"/>
  <c r="Z45" i="16"/>
  <c r="Y45" i="16"/>
  <c r="X45" i="16"/>
  <c r="W45" i="16"/>
  <c r="V45" i="16"/>
  <c r="U45" i="16"/>
  <c r="T45" i="16"/>
  <c r="AD44" i="16"/>
  <c r="AC44" i="16"/>
  <c r="AB44" i="16"/>
  <c r="AA44" i="16"/>
  <c r="Z44" i="16"/>
  <c r="Y44" i="16"/>
  <c r="X44" i="16"/>
  <c r="W44" i="16"/>
  <c r="V44" i="16"/>
  <c r="U44" i="16"/>
  <c r="T44" i="16"/>
  <c r="AD29" i="16" l="1"/>
  <c r="N30" i="16" s="1"/>
  <c r="M27" i="12" l="1"/>
  <c r="L27" i="12"/>
  <c r="AC56" i="16" l="1"/>
  <c r="AD31" i="16"/>
  <c r="AD30" i="16"/>
  <c r="AC29" i="16"/>
  <c r="Q11" i="13" l="1"/>
  <c r="Q9" i="13"/>
  <c r="J11" i="13"/>
  <c r="K19" i="13"/>
  <c r="L19" i="13"/>
  <c r="M19" i="13"/>
  <c r="N19" i="13"/>
  <c r="O19" i="13"/>
  <c r="R11" i="13" l="1"/>
  <c r="AI44" i="16" s="1"/>
  <c r="AV33" i="11"/>
  <c r="AT33" i="11"/>
  <c r="AR33" i="11"/>
  <c r="AP33" i="11"/>
  <c r="AN33" i="11"/>
  <c r="AL33" i="11"/>
  <c r="AJ33" i="11"/>
  <c r="AH33" i="11"/>
  <c r="AF33" i="11"/>
  <c r="AJ45" i="16" l="1"/>
  <c r="AJ44" i="16"/>
  <c r="AE5" i="10"/>
  <c r="AC6" i="10"/>
  <c r="AE6" i="10"/>
  <c r="AE7" i="10"/>
  <c r="AC8" i="10"/>
  <c r="AE8" i="10"/>
  <c r="AC9" i="10"/>
  <c r="AE9" i="10"/>
  <c r="AC10" i="10"/>
  <c r="AE10" i="10"/>
  <c r="AC11" i="10"/>
  <c r="AE11" i="10"/>
  <c r="AE12" i="10"/>
  <c r="BM32" i="8"/>
  <c r="BL32" i="8"/>
  <c r="BK32" i="8"/>
  <c r="BJ32" i="8"/>
  <c r="BI32" i="8"/>
  <c r="BH32" i="8"/>
  <c r="BG32" i="8"/>
  <c r="BF32" i="8"/>
  <c r="BE32" i="8"/>
  <c r="BD32" i="8"/>
  <c r="BC32" i="8"/>
  <c r="BB32" i="8"/>
  <c r="BA32" i="8"/>
  <c r="AZ32" i="8"/>
  <c r="AY32" i="8"/>
  <c r="AX32" i="8"/>
  <c r="AW32" i="8"/>
  <c r="AV32" i="8"/>
  <c r="AU32" i="8"/>
  <c r="AT32" i="8"/>
  <c r="AS32" i="8"/>
  <c r="AR32" i="8"/>
  <c r="AQ32" i="8"/>
  <c r="AP32" i="8"/>
  <c r="BM31" i="8"/>
  <c r="BL31" i="8"/>
  <c r="BK31" i="8"/>
  <c r="BJ31" i="8"/>
  <c r="BI31" i="8"/>
  <c r="BH31" i="8"/>
  <c r="BG31" i="8"/>
  <c r="BF31" i="8"/>
  <c r="BE31" i="8"/>
  <c r="BD31" i="8"/>
  <c r="BC31" i="8"/>
  <c r="BB31" i="8"/>
  <c r="BA31" i="8"/>
  <c r="AZ31" i="8"/>
  <c r="AY31" i="8"/>
  <c r="AX31" i="8"/>
  <c r="AW31" i="8"/>
  <c r="AV31" i="8"/>
  <c r="AU31" i="8"/>
  <c r="AT31" i="8"/>
  <c r="AS31" i="8"/>
  <c r="AR31" i="8"/>
  <c r="AQ31" i="8"/>
  <c r="AP31" i="8"/>
  <c r="AO31" i="8"/>
  <c r="AN31" i="8"/>
  <c r="AM31" i="8"/>
  <c r="AL31" i="8"/>
  <c r="AK31" i="8"/>
  <c r="AJ31" i="8"/>
  <c r="AI31" i="8"/>
  <c r="AH31" i="8"/>
  <c r="AG31" i="8"/>
  <c r="AF31" i="8"/>
  <c r="AE31" i="8"/>
  <c r="AO30" i="8"/>
  <c r="AO32" i="8" s="1"/>
  <c r="AN30" i="8"/>
  <c r="AN32" i="8" s="1"/>
  <c r="AM30" i="8"/>
  <c r="AM32" i="8" s="1"/>
  <c r="AL30" i="8"/>
  <c r="AL32" i="8" s="1"/>
  <c r="AK30" i="8"/>
  <c r="AK32" i="8" s="1"/>
  <c r="AJ30" i="8"/>
  <c r="AJ32" i="8" s="1"/>
  <c r="AI30" i="8"/>
  <c r="AI32" i="8" s="1"/>
  <c r="AH30" i="8"/>
  <c r="AH32" i="8" s="1"/>
  <c r="AG30" i="8"/>
  <c r="AG32" i="8" s="1"/>
  <c r="AF30" i="8"/>
  <c r="AF32" i="8" s="1"/>
  <c r="AE30" i="8"/>
  <c r="AE32" i="8" s="1"/>
  <c r="BM26" i="8"/>
  <c r="BL26" i="8"/>
  <c r="BK26" i="8"/>
  <c r="BJ26" i="8"/>
  <c r="BI26" i="8"/>
  <c r="BH26" i="8"/>
  <c r="BG26" i="8"/>
  <c r="BF26" i="8"/>
  <c r="BE26" i="8"/>
  <c r="BD26" i="8"/>
  <c r="BC26" i="8"/>
  <c r="BB26" i="8"/>
  <c r="BA26" i="8"/>
  <c r="AZ26" i="8"/>
  <c r="AY26" i="8"/>
  <c r="AX26" i="8"/>
  <c r="AW26" i="8"/>
  <c r="AV26" i="8"/>
  <c r="AU26" i="8"/>
  <c r="AT26" i="8"/>
  <c r="AS26" i="8"/>
  <c r="AR26" i="8"/>
  <c r="AQ26" i="8"/>
  <c r="AP26" i="8"/>
  <c r="AO26" i="8"/>
  <c r="AN26" i="8"/>
  <c r="AM26" i="8"/>
  <c r="AL26" i="8"/>
  <c r="AK26" i="8"/>
  <c r="AJ26" i="8"/>
  <c r="AI26" i="8"/>
  <c r="AH26" i="8"/>
  <c r="AG26" i="8"/>
  <c r="AF26" i="8"/>
  <c r="AE26" i="8"/>
  <c r="BC18" i="8"/>
  <c r="BA17" i="8"/>
  <c r="AY17" i="8"/>
  <c r="AW17" i="8"/>
  <c r="AU17" i="8"/>
  <c r="AS17" i="8"/>
  <c r="P16" i="8" s="1"/>
  <c r="AQ17" i="8"/>
  <c r="AO17" i="8"/>
  <c r="AM17" i="8"/>
  <c r="AK17" i="8"/>
  <c r="AI17" i="8"/>
  <c r="AG17" i="8"/>
  <c r="BC15" i="8"/>
  <c r="BB15" i="8"/>
  <c r="AZ15" i="8"/>
  <c r="AX15" i="8"/>
  <c r="AV15" i="8"/>
  <c r="AT15" i="8"/>
  <c r="AR15" i="8"/>
  <c r="AP15" i="8"/>
  <c r="BC16" i="8"/>
  <c r="BB16" i="8"/>
  <c r="AZ16" i="8"/>
  <c r="AX16" i="8"/>
  <c r="AV16" i="8"/>
  <c r="AT16" i="8"/>
  <c r="AR16" i="8"/>
  <c r="AP16" i="8"/>
  <c r="BC14" i="8"/>
  <c r="BB14" i="8"/>
  <c r="AZ14" i="8"/>
  <c r="AX14" i="8"/>
  <c r="AV14" i="8"/>
  <c r="AT14" i="8"/>
  <c r="AR14" i="8"/>
  <c r="AP14" i="8"/>
  <c r="AN14" i="8"/>
  <c r="AL14" i="8"/>
  <c r="AH14" i="8"/>
  <c r="BC13" i="8"/>
  <c r="BB13" i="8"/>
  <c r="AZ13" i="8"/>
  <c r="AX13" i="8"/>
  <c r="AV13" i="8"/>
  <c r="AT13" i="8"/>
  <c r="AR13" i="8"/>
  <c r="AP13" i="8"/>
  <c r="AN13" i="8"/>
  <c r="AL13" i="8"/>
  <c r="AJ13" i="8"/>
  <c r="AH13" i="8"/>
  <c r="BC12" i="8"/>
  <c r="BB12" i="8"/>
  <c r="AZ12" i="8"/>
  <c r="AX12" i="8"/>
  <c r="AV12" i="8"/>
  <c r="AT12" i="8"/>
  <c r="AR12" i="8"/>
  <c r="AP12" i="8"/>
  <c r="AN12" i="8"/>
  <c r="AL12" i="8"/>
  <c r="AJ12" i="8"/>
  <c r="AH12" i="8"/>
  <c r="BB11" i="8"/>
  <c r="AZ11" i="8"/>
  <c r="AX11" i="8"/>
  <c r="AV11" i="8"/>
  <c r="AT11" i="8"/>
  <c r="AR11" i="8"/>
  <c r="AP11" i="8"/>
  <c r="AN11" i="8"/>
  <c r="AL11" i="8"/>
  <c r="AJ11" i="8"/>
  <c r="AH11" i="8"/>
  <c r="BC10" i="8"/>
  <c r="BB10" i="8"/>
  <c r="AZ10" i="8"/>
  <c r="AX10" i="8"/>
  <c r="AT10" i="8"/>
  <c r="AR10" i="8"/>
  <c r="AP10" i="8"/>
  <c r="AN10" i="8"/>
  <c r="AL10" i="8"/>
  <c r="AJ10" i="8"/>
  <c r="AH10" i="8"/>
  <c r="AI5" i="8"/>
  <c r="AH5" i="8"/>
  <c r="AJ5" i="8" s="1"/>
  <c r="AL5" i="8" s="1"/>
  <c r="AN5" i="8" s="1"/>
  <c r="AP5" i="8" s="1"/>
  <c r="AR5" i="8" s="1"/>
  <c r="AT5" i="8" s="1"/>
  <c r="AV5" i="8" s="1"/>
  <c r="AX5" i="8" s="1"/>
  <c r="AZ5" i="8" s="1"/>
  <c r="BB5" i="8" s="1"/>
  <c r="BB17" i="8" l="1"/>
  <c r="AK5" i="8"/>
  <c r="BC17" i="8"/>
  <c r="AL17" i="8"/>
  <c r="AN17" i="8"/>
  <c r="BD12" i="8"/>
  <c r="BD10" i="8"/>
  <c r="AP17" i="8"/>
  <c r="AT17" i="8"/>
  <c r="AJ17" i="8"/>
  <c r="AX17" i="8"/>
  <c r="AV17" i="8"/>
  <c r="AR17" i="8"/>
  <c r="AZ17" i="8"/>
  <c r="BD15" i="8"/>
  <c r="BD13" i="8"/>
  <c r="BD14" i="8"/>
  <c r="BD16" i="8"/>
  <c r="AC12" i="10"/>
  <c r="AH17" i="8"/>
  <c r="AM5" i="8" l="1"/>
  <c r="BD17" i="8"/>
  <c r="AO5" i="8" l="1"/>
  <c r="AI8" i="19"/>
  <c r="AQ5" i="8" l="1"/>
  <c r="AI8" i="21"/>
  <c r="R11" i="21"/>
  <c r="AS5" i="8" l="1"/>
  <c r="AF12" i="7"/>
  <c r="AF10" i="7"/>
  <c r="AE10" i="7"/>
  <c r="AD20" i="7"/>
  <c r="N9" i="7"/>
  <c r="AU5" i="8" l="1"/>
  <c r="AR9" i="11"/>
  <c r="Y9" i="11" s="1"/>
  <c r="AM80" i="23"/>
  <c r="AN83" i="23"/>
  <c r="AN82" i="23"/>
  <c r="AN81" i="23"/>
  <c r="AN80" i="23"/>
  <c r="S20" i="23" s="1"/>
  <c r="AH10" i="21"/>
  <c r="AI7" i="21"/>
  <c r="AW5" i="8" l="1"/>
  <c r="Y29" i="11"/>
  <c r="W29" i="11"/>
  <c r="U29" i="11"/>
  <c r="S29" i="11"/>
  <c r="Q29" i="11"/>
  <c r="O29" i="11"/>
  <c r="M29" i="11"/>
  <c r="K29" i="11"/>
  <c r="I29" i="11"/>
  <c r="G29" i="11"/>
  <c r="E29" i="11"/>
  <c r="BB34" i="11"/>
  <c r="BB31" i="11"/>
  <c r="AS8" i="11"/>
  <c r="BB32" i="11"/>
  <c r="AA29" i="11" s="1"/>
  <c r="AY5" i="8" l="1"/>
  <c r="L31" i="11"/>
  <c r="E28" i="11"/>
  <c r="BA5" i="8" l="1"/>
  <c r="AZ33" i="11"/>
  <c r="AX33" i="11"/>
  <c r="BA32" i="11"/>
  <c r="AY32" i="11"/>
  <c r="X29" i="11" l="1"/>
  <c r="AO42" i="11"/>
  <c r="Z29" i="11"/>
  <c r="AP42" i="11"/>
  <c r="F27" i="4"/>
  <c r="AG29" i="24"/>
  <c r="AG24" i="4" l="1"/>
  <c r="AF9" i="24" l="1"/>
  <c r="AG9" i="24" l="1"/>
  <c r="O22" i="4"/>
  <c r="N22" i="4"/>
  <c r="M22" i="4"/>
  <c r="L22" i="4"/>
  <c r="K22" i="4"/>
  <c r="J22" i="4"/>
  <c r="I22" i="4"/>
  <c r="H22" i="4"/>
  <c r="G22" i="4"/>
  <c r="F22" i="4"/>
  <c r="AI22" i="4"/>
  <c r="AH22" i="4"/>
  <c r="F21" i="4"/>
  <c r="AF37" i="24" l="1"/>
  <c r="AF9" i="16"/>
  <c r="K56" i="25" l="1"/>
  <c r="AF40" i="14"/>
  <c r="AE40" i="14"/>
  <c r="AD40" i="14"/>
  <c r="AC40" i="14"/>
  <c r="AB40" i="14"/>
  <c r="AA40" i="14"/>
  <c r="Z40" i="14"/>
  <c r="Y40" i="14"/>
  <c r="X40" i="14"/>
  <c r="W40" i="14"/>
  <c r="V40" i="14"/>
  <c r="AF39" i="14"/>
  <c r="AE39" i="14"/>
  <c r="AD39" i="14"/>
  <c r="AC39" i="14"/>
  <c r="AB39" i="14"/>
  <c r="AA39" i="14"/>
  <c r="Z39" i="14"/>
  <c r="Y39" i="14"/>
  <c r="X39" i="14"/>
  <c r="W39" i="14"/>
  <c r="V39" i="14"/>
  <c r="AF37" i="14"/>
  <c r="AE37" i="14"/>
  <c r="AD37" i="14"/>
  <c r="AC37" i="14"/>
  <c r="AB37" i="14"/>
  <c r="AA37" i="14"/>
  <c r="Z37" i="14"/>
  <c r="Y37" i="14"/>
  <c r="X37" i="14"/>
  <c r="W37" i="14"/>
  <c r="V37" i="14"/>
  <c r="AF36" i="14"/>
  <c r="AE36" i="14"/>
  <c r="AD36" i="14"/>
  <c r="AC36" i="14"/>
  <c r="AB36" i="14"/>
  <c r="AA36" i="14"/>
  <c r="Z36" i="14"/>
  <c r="Y36" i="14"/>
  <c r="X36" i="14"/>
  <c r="W36" i="14"/>
  <c r="V36" i="14"/>
  <c r="AF34" i="14"/>
  <c r="AE34" i="14"/>
  <c r="AD34" i="14"/>
  <c r="AC34" i="14"/>
  <c r="AB34" i="14"/>
  <c r="AA34" i="14"/>
  <c r="Z34" i="14"/>
  <c r="Y34" i="14"/>
  <c r="X34" i="14"/>
  <c r="W34" i="14"/>
  <c r="V34" i="14"/>
  <c r="AF33" i="14"/>
  <c r="AE33" i="14"/>
  <c r="AD33" i="14"/>
  <c r="AC33" i="14"/>
  <c r="AB33" i="14"/>
  <c r="AA33" i="14"/>
  <c r="Z33" i="14"/>
  <c r="Y33" i="14"/>
  <c r="X33" i="14"/>
  <c r="W33" i="14"/>
  <c r="V33" i="14"/>
  <c r="AF32" i="14"/>
  <c r="AE32" i="14"/>
  <c r="AD32" i="14"/>
  <c r="AC32" i="14"/>
  <c r="AB32" i="14"/>
  <c r="AA32" i="14"/>
  <c r="Z32" i="14"/>
  <c r="Y32" i="14"/>
  <c r="X32" i="14"/>
  <c r="W32" i="14"/>
  <c r="V32" i="14"/>
  <c r="O23" i="14"/>
  <c r="AE26" i="14"/>
  <c r="N23" i="14" s="1"/>
  <c r="AD26" i="14"/>
  <c r="M23" i="14" s="1"/>
  <c r="AC26" i="14"/>
  <c r="L23" i="14" s="1"/>
  <c r="AB26" i="14"/>
  <c r="K23" i="14" s="1"/>
  <c r="AA26" i="14"/>
  <c r="J23" i="14" s="1"/>
  <c r="Z26" i="14"/>
  <c r="I23" i="14" s="1"/>
  <c r="Y26" i="14"/>
  <c r="H23" i="14" s="1"/>
  <c r="X26" i="14"/>
  <c r="G23" i="14" s="1"/>
  <c r="W26" i="14"/>
  <c r="F23" i="14" s="1"/>
  <c r="V26" i="14"/>
  <c r="AE25" i="14"/>
  <c r="N22" i="14" s="1"/>
  <c r="AD25" i="14"/>
  <c r="M22" i="14" s="1"/>
  <c r="AC25" i="14"/>
  <c r="L22" i="14" s="1"/>
  <c r="AB25" i="14"/>
  <c r="K22" i="14" s="1"/>
  <c r="AA25" i="14"/>
  <c r="J22" i="14" s="1"/>
  <c r="Z25" i="14"/>
  <c r="I22" i="14" s="1"/>
  <c r="Y25" i="14"/>
  <c r="H22" i="14" s="1"/>
  <c r="X25" i="14"/>
  <c r="G22" i="14" s="1"/>
  <c r="W25" i="14"/>
  <c r="F22" i="14" s="1"/>
  <c r="V25" i="14"/>
  <c r="Q24" i="14"/>
  <c r="AF21" i="14"/>
  <c r="O18" i="14" s="1"/>
  <c r="AE21" i="14"/>
  <c r="N18" i="14" s="1"/>
  <c r="AD21" i="14"/>
  <c r="M18" i="14" s="1"/>
  <c r="AC21" i="14"/>
  <c r="L18" i="14" s="1"/>
  <c r="AB21" i="14"/>
  <c r="K18" i="14" s="1"/>
  <c r="AA21" i="14"/>
  <c r="J18" i="14" s="1"/>
  <c r="Z21" i="14"/>
  <c r="I18" i="14" s="1"/>
  <c r="Y21" i="14"/>
  <c r="H18" i="14" s="1"/>
  <c r="X21" i="14"/>
  <c r="G18" i="14" s="1"/>
  <c r="W21" i="14"/>
  <c r="F18" i="14" s="1"/>
  <c r="V21" i="14"/>
  <c r="E18" i="14" s="1"/>
  <c r="Q21" i="14"/>
  <c r="P21" i="14"/>
  <c r="O21" i="14"/>
  <c r="N21" i="14"/>
  <c r="M21" i="14"/>
  <c r="L21" i="14"/>
  <c r="K21" i="14"/>
  <c r="J21" i="14"/>
  <c r="I21" i="14"/>
  <c r="H21" i="14"/>
  <c r="G21" i="14"/>
  <c r="F21" i="14"/>
  <c r="E21" i="14"/>
  <c r="AH20" i="14"/>
  <c r="Q17" i="14" s="1"/>
  <c r="AG20" i="14"/>
  <c r="P17" i="14" s="1"/>
  <c r="Q20" i="14"/>
  <c r="P20" i="14"/>
  <c r="O20" i="14"/>
  <c r="N20" i="14"/>
  <c r="M20" i="14"/>
  <c r="L20" i="14"/>
  <c r="K20" i="14"/>
  <c r="J20" i="14"/>
  <c r="I20" i="14"/>
  <c r="H20" i="14"/>
  <c r="G20" i="14"/>
  <c r="F20" i="14"/>
  <c r="E20" i="14"/>
  <c r="AH19" i="14"/>
  <c r="Q16" i="14" s="1"/>
  <c r="AG19" i="14"/>
  <c r="P16" i="14" s="1"/>
  <c r="Q19" i="14"/>
  <c r="P19" i="14"/>
  <c r="O19" i="14"/>
  <c r="N19" i="14"/>
  <c r="M19" i="14"/>
  <c r="L19" i="14"/>
  <c r="K19" i="14"/>
  <c r="J19" i="14"/>
  <c r="I19" i="14"/>
  <c r="H19" i="14"/>
  <c r="G19" i="14"/>
  <c r="F19" i="14"/>
  <c r="E19" i="14"/>
  <c r="AF18" i="14"/>
  <c r="AE18" i="14"/>
  <c r="AD18" i="14"/>
  <c r="AC18" i="14"/>
  <c r="AB18" i="14"/>
  <c r="AA18" i="14"/>
  <c r="Z18" i="14"/>
  <c r="Y18" i="14"/>
  <c r="X18" i="14"/>
  <c r="W18" i="14"/>
  <c r="V18" i="14"/>
  <c r="Q18" i="14"/>
  <c r="P18" i="14"/>
  <c r="AH17" i="14"/>
  <c r="O17" i="14"/>
  <c r="N17" i="14"/>
  <c r="M17" i="14"/>
  <c r="L17" i="14"/>
  <c r="K17" i="14"/>
  <c r="J17" i="14"/>
  <c r="I17" i="14"/>
  <c r="H17" i="14"/>
  <c r="G17" i="14"/>
  <c r="F17" i="14"/>
  <c r="E17" i="14"/>
  <c r="AH16" i="14"/>
  <c r="O16" i="14"/>
  <c r="N16" i="14"/>
  <c r="M16" i="14"/>
  <c r="L16" i="14"/>
  <c r="K16" i="14"/>
  <c r="J16" i="14"/>
  <c r="I16" i="14"/>
  <c r="H16" i="14"/>
  <c r="G16" i="14"/>
  <c r="F16" i="14"/>
  <c r="E16" i="14"/>
  <c r="AF15" i="14"/>
  <c r="O15" i="14" s="1"/>
  <c r="AE15" i="14"/>
  <c r="N15" i="14" s="1"/>
  <c r="AD15" i="14"/>
  <c r="M15" i="14" s="1"/>
  <c r="AC15" i="14"/>
  <c r="L15" i="14" s="1"/>
  <c r="AB15" i="14"/>
  <c r="K15" i="14" s="1"/>
  <c r="AA15" i="14"/>
  <c r="J15" i="14" s="1"/>
  <c r="Z15" i="14"/>
  <c r="I15" i="14" s="1"/>
  <c r="Y15" i="14"/>
  <c r="H15" i="14" s="1"/>
  <c r="X15" i="14"/>
  <c r="G15" i="14" s="1"/>
  <c r="W15" i="14"/>
  <c r="F15" i="14" s="1"/>
  <c r="V15" i="14"/>
  <c r="E15" i="14" s="1"/>
  <c r="Q15" i="14"/>
  <c r="P15" i="14"/>
  <c r="AH14" i="14"/>
  <c r="Q14" i="14" s="1"/>
  <c r="AG14" i="14"/>
  <c r="P14" i="14" s="1"/>
  <c r="O14" i="14"/>
  <c r="N14" i="14"/>
  <c r="M14" i="14"/>
  <c r="L14" i="14"/>
  <c r="K14" i="14"/>
  <c r="J14" i="14"/>
  <c r="I14" i="14"/>
  <c r="H14" i="14"/>
  <c r="G14" i="14"/>
  <c r="F14" i="14"/>
  <c r="E14" i="14"/>
  <c r="AH13" i="14"/>
  <c r="Q13" i="14" s="1"/>
  <c r="AG13" i="14"/>
  <c r="P13" i="14" s="1"/>
  <c r="O13" i="14"/>
  <c r="N13" i="14"/>
  <c r="M13" i="14"/>
  <c r="L13" i="14"/>
  <c r="K13" i="14"/>
  <c r="J13" i="14"/>
  <c r="I13" i="14"/>
  <c r="H13" i="14"/>
  <c r="G13" i="14"/>
  <c r="F13" i="14"/>
  <c r="E13" i="14"/>
  <c r="AF12" i="14"/>
  <c r="O12" i="14" s="1"/>
  <c r="AE12" i="14"/>
  <c r="N12" i="14" s="1"/>
  <c r="AD12" i="14"/>
  <c r="M12" i="14" s="1"/>
  <c r="AC12" i="14"/>
  <c r="L12" i="14" s="1"/>
  <c r="AB12" i="14"/>
  <c r="K12" i="14" s="1"/>
  <c r="AA12" i="14"/>
  <c r="J12" i="14" s="1"/>
  <c r="Z12" i="14"/>
  <c r="I12" i="14" s="1"/>
  <c r="Y12" i="14"/>
  <c r="H12" i="14" s="1"/>
  <c r="X12" i="14"/>
  <c r="G12" i="14" s="1"/>
  <c r="W12" i="14"/>
  <c r="F12" i="14" s="1"/>
  <c r="V12" i="14"/>
  <c r="E12" i="14" s="1"/>
  <c r="Q12" i="14"/>
  <c r="P12" i="14"/>
  <c r="AH11" i="14"/>
  <c r="Q11" i="14" s="1"/>
  <c r="AG11" i="14"/>
  <c r="P11" i="14" s="1"/>
  <c r="O11" i="14"/>
  <c r="N11" i="14"/>
  <c r="M11" i="14"/>
  <c r="L11" i="14"/>
  <c r="K11" i="14"/>
  <c r="J11" i="14"/>
  <c r="I11" i="14"/>
  <c r="H11" i="14"/>
  <c r="G11" i="14"/>
  <c r="F11" i="14"/>
  <c r="E11" i="14"/>
  <c r="AH10" i="14"/>
  <c r="Q10" i="14" s="1"/>
  <c r="AG10" i="14"/>
  <c r="P10" i="14" s="1"/>
  <c r="O10" i="14"/>
  <c r="N10" i="14"/>
  <c r="M10" i="14"/>
  <c r="L10" i="14"/>
  <c r="K10" i="14"/>
  <c r="J10" i="14"/>
  <c r="I10" i="14"/>
  <c r="H10" i="14"/>
  <c r="G10" i="14"/>
  <c r="F10" i="14"/>
  <c r="E10" i="14"/>
  <c r="AF9" i="14"/>
  <c r="AE9" i="14"/>
  <c r="N9" i="14" s="1"/>
  <c r="AD9" i="14"/>
  <c r="M9" i="14" s="1"/>
  <c r="AC9" i="14"/>
  <c r="L9" i="14" s="1"/>
  <c r="AB9" i="14"/>
  <c r="K9" i="14" s="1"/>
  <c r="AA9" i="14"/>
  <c r="J9" i="14" s="1"/>
  <c r="Z9" i="14"/>
  <c r="I9" i="14" s="1"/>
  <c r="Y9" i="14"/>
  <c r="H9" i="14" s="1"/>
  <c r="X9" i="14"/>
  <c r="G9" i="14" s="1"/>
  <c r="W9" i="14"/>
  <c r="F9" i="14" s="1"/>
  <c r="V9" i="14"/>
  <c r="E9" i="14" s="1"/>
  <c r="Q9" i="14"/>
  <c r="P9" i="14"/>
  <c r="AH8" i="14"/>
  <c r="Q8" i="14" s="1"/>
  <c r="AG8" i="14"/>
  <c r="P8" i="14" s="1"/>
  <c r="O8" i="14"/>
  <c r="N8" i="14"/>
  <c r="M8" i="14"/>
  <c r="L8" i="14"/>
  <c r="K8" i="14"/>
  <c r="J8" i="14"/>
  <c r="I8" i="14"/>
  <c r="H8" i="14"/>
  <c r="G8" i="14"/>
  <c r="F8" i="14"/>
  <c r="E8" i="14"/>
  <c r="AH7" i="14"/>
  <c r="Q7" i="14" s="1"/>
  <c r="AG7" i="14"/>
  <c r="P7" i="14" s="1"/>
  <c r="O7" i="14"/>
  <c r="N7" i="14"/>
  <c r="M7" i="14"/>
  <c r="L7" i="14"/>
  <c r="K7" i="14"/>
  <c r="J7" i="14"/>
  <c r="I7" i="14"/>
  <c r="H7" i="14"/>
  <c r="G7" i="14"/>
  <c r="F7" i="14"/>
  <c r="E7" i="14"/>
  <c r="O5" i="14"/>
  <c r="N5" i="14"/>
  <c r="M5" i="14"/>
  <c r="L5" i="14"/>
  <c r="K5" i="14"/>
  <c r="J5" i="14"/>
  <c r="I5" i="14"/>
  <c r="H5" i="14"/>
  <c r="G5" i="14"/>
  <c r="F5" i="14"/>
  <c r="E5" i="14"/>
  <c r="O9" i="14" l="1"/>
  <c r="AI9" i="15"/>
  <c r="V27" i="14"/>
  <c r="E24" i="14" s="1"/>
  <c r="AD35" i="14"/>
  <c r="W41" i="14"/>
  <c r="AC41" i="14"/>
  <c r="AE35" i="14"/>
  <c r="AF38" i="14"/>
  <c r="V41" i="14"/>
  <c r="Z35" i="14"/>
  <c r="AG26" i="14"/>
  <c r="P23" i="14" s="1"/>
  <c r="V35" i="14"/>
  <c r="AF27" i="14"/>
  <c r="O24" i="14" s="1"/>
  <c r="X38" i="14"/>
  <c r="Z41" i="14"/>
  <c r="AH26" i="14"/>
  <c r="Q23" i="14" s="1"/>
  <c r="Y38" i="14"/>
  <c r="AA41" i="14"/>
  <c r="Z38" i="14"/>
  <c r="AB41" i="14"/>
  <c r="AD38" i="14"/>
  <c r="AF41" i="14"/>
  <c r="AE38" i="14"/>
  <c r="V38" i="14"/>
  <c r="X41" i="14"/>
  <c r="AE27" i="14"/>
  <c r="N24" i="14" s="1"/>
  <c r="E22" i="14"/>
  <c r="X35" i="14"/>
  <c r="Y35" i="14"/>
  <c r="AA38" i="14"/>
  <c r="W27" i="14"/>
  <c r="F24" i="14" s="1"/>
  <c r="AB38" i="14"/>
  <c r="AD41" i="14"/>
  <c r="X27" i="14"/>
  <c r="G24" i="14" s="1"/>
  <c r="E23" i="14"/>
  <c r="Y27" i="14"/>
  <c r="H24" i="14" s="1"/>
  <c r="AC35" i="14"/>
  <c r="AC38" i="14"/>
  <c r="AE41" i="14"/>
  <c r="AD27" i="14"/>
  <c r="M24" i="14" s="1"/>
  <c r="Y41" i="14"/>
  <c r="AF35" i="14"/>
  <c r="AC27" i="14"/>
  <c r="L24" i="14" s="1"/>
  <c r="W35" i="14"/>
  <c r="W38" i="14"/>
  <c r="AA35" i="14"/>
  <c r="AB35" i="14"/>
  <c r="O22" i="14"/>
  <c r="AA27" i="14"/>
  <c r="J24" i="14" s="1"/>
  <c r="AB27" i="14"/>
  <c r="K24" i="14" s="1"/>
  <c r="AG25" i="14"/>
  <c r="P22" i="14" s="1"/>
  <c r="AH25" i="14"/>
  <c r="Q22" i="14" s="1"/>
  <c r="Z27" i="14"/>
  <c r="I24" i="14" s="1"/>
  <c r="P8" i="24" l="1"/>
  <c r="J56" i="25" l="1"/>
  <c r="I56" i="25"/>
  <c r="H56" i="25"/>
  <c r="G56" i="25"/>
  <c r="F56" i="25"/>
  <c r="J55" i="25"/>
  <c r="I55" i="25"/>
  <c r="H55" i="25"/>
  <c r="G55" i="25"/>
  <c r="F55" i="25"/>
  <c r="W56" i="25"/>
  <c r="L56" i="25" s="1"/>
  <c r="W55" i="25"/>
  <c r="L55" i="25" s="1"/>
  <c r="K51" i="25"/>
  <c r="J51" i="25"/>
  <c r="I51" i="25"/>
  <c r="H51" i="25"/>
  <c r="G51" i="25"/>
  <c r="F51" i="25"/>
  <c r="W50" i="25"/>
  <c r="L51" i="25" s="1"/>
  <c r="K50" i="25"/>
  <c r="J50" i="25"/>
  <c r="I50" i="25"/>
  <c r="H50" i="25"/>
  <c r="G50" i="25"/>
  <c r="F50" i="25"/>
  <c r="W49" i="25"/>
  <c r="L50" i="25" s="1"/>
  <c r="K49" i="25"/>
  <c r="J49" i="25"/>
  <c r="I49" i="25"/>
  <c r="H49" i="25"/>
  <c r="G49" i="25"/>
  <c r="F49" i="25"/>
  <c r="W48" i="25"/>
  <c r="L49" i="25" s="1"/>
  <c r="K48" i="25"/>
  <c r="J48" i="25"/>
  <c r="I48" i="25"/>
  <c r="H48" i="25"/>
  <c r="G48" i="25"/>
  <c r="F48" i="25"/>
  <c r="W47" i="25"/>
  <c r="L48" i="25" s="1"/>
  <c r="K47" i="25"/>
  <c r="J47" i="25"/>
  <c r="I47" i="25"/>
  <c r="H47" i="25"/>
  <c r="G47" i="25"/>
  <c r="F47" i="25"/>
  <c r="W46" i="25"/>
  <c r="L47" i="25" s="1"/>
  <c r="K46" i="25"/>
  <c r="J46" i="25"/>
  <c r="I46" i="25"/>
  <c r="H46" i="25"/>
  <c r="G46" i="25"/>
  <c r="F46" i="25"/>
  <c r="W45" i="25"/>
  <c r="L46" i="25" s="1"/>
  <c r="K45" i="25"/>
  <c r="J45" i="25"/>
  <c r="I45" i="25"/>
  <c r="H45" i="25"/>
  <c r="G45" i="25"/>
  <c r="F45" i="25"/>
  <c r="W44" i="25"/>
  <c r="L45" i="25" s="1"/>
  <c r="L44" i="25"/>
  <c r="J44" i="25"/>
  <c r="I44" i="25"/>
  <c r="H44" i="25"/>
  <c r="G44" i="25"/>
  <c r="F44" i="25"/>
  <c r="K44" i="25"/>
  <c r="K43" i="25"/>
  <c r="J43" i="25"/>
  <c r="I43" i="25"/>
  <c r="H43" i="25"/>
  <c r="G43" i="25"/>
  <c r="F43" i="25"/>
  <c r="W42" i="25"/>
  <c r="L43" i="25" s="1"/>
  <c r="K42" i="25"/>
  <c r="J42" i="25"/>
  <c r="I42" i="25"/>
  <c r="H42" i="25"/>
  <c r="G42" i="25"/>
  <c r="F42" i="25"/>
  <c r="W41" i="25"/>
  <c r="L42" i="25" s="1"/>
  <c r="W35" i="25"/>
  <c r="L35" i="25" s="1"/>
  <c r="K35" i="25"/>
  <c r="J35" i="25"/>
  <c r="I35" i="25"/>
  <c r="H35" i="25"/>
  <c r="G35" i="25"/>
  <c r="F35" i="25"/>
  <c r="W34" i="25"/>
  <c r="L34" i="25" s="1"/>
  <c r="K34" i="25"/>
  <c r="J34" i="25"/>
  <c r="I34" i="25"/>
  <c r="H34" i="25"/>
  <c r="G34" i="25"/>
  <c r="F34" i="25"/>
  <c r="W33" i="25"/>
  <c r="L33" i="25" s="1"/>
  <c r="K33" i="25"/>
  <c r="J33" i="25"/>
  <c r="I33" i="25"/>
  <c r="H33" i="25"/>
  <c r="G33" i="25"/>
  <c r="F33" i="25"/>
  <c r="W32" i="25"/>
  <c r="L32" i="25" s="1"/>
  <c r="K32" i="25"/>
  <c r="J32" i="25"/>
  <c r="I32" i="25"/>
  <c r="H32" i="25"/>
  <c r="G32" i="25"/>
  <c r="F32" i="25"/>
  <c r="W31" i="25"/>
  <c r="L31" i="25" s="1"/>
  <c r="K31" i="25"/>
  <c r="J31" i="25"/>
  <c r="I31" i="25"/>
  <c r="H31" i="25"/>
  <c r="G31" i="25"/>
  <c r="F31" i="25"/>
  <c r="W30" i="25"/>
  <c r="L30" i="25" s="1"/>
  <c r="K30" i="25"/>
  <c r="J30" i="25"/>
  <c r="I30" i="25"/>
  <c r="H30" i="25"/>
  <c r="G30" i="25"/>
  <c r="F30" i="25"/>
  <c r="W29" i="25"/>
  <c r="L29" i="25" s="1"/>
  <c r="K29" i="25"/>
  <c r="J29" i="25"/>
  <c r="I29" i="25"/>
  <c r="H29" i="25"/>
  <c r="G29" i="25"/>
  <c r="F29" i="25"/>
  <c r="W28" i="25"/>
  <c r="L28" i="25" s="1"/>
  <c r="K28" i="25"/>
  <c r="J28" i="25"/>
  <c r="I28" i="25"/>
  <c r="H28" i="25"/>
  <c r="G28" i="25"/>
  <c r="F28" i="25"/>
  <c r="W27" i="25"/>
  <c r="L27" i="25" s="1"/>
  <c r="K27" i="25"/>
  <c r="J27" i="25"/>
  <c r="I27" i="25"/>
  <c r="H27" i="25"/>
  <c r="G27" i="25"/>
  <c r="F27" i="25"/>
  <c r="W25" i="25"/>
  <c r="L25" i="25" s="1"/>
  <c r="K25" i="25"/>
  <c r="J25" i="25"/>
  <c r="I25" i="25"/>
  <c r="H25" i="25"/>
  <c r="G25" i="25"/>
  <c r="F25" i="25"/>
  <c r="W24" i="25"/>
  <c r="L24" i="25" s="1"/>
  <c r="K24" i="25"/>
  <c r="J24" i="25"/>
  <c r="I24" i="25"/>
  <c r="H24" i="25"/>
  <c r="G24" i="25"/>
  <c r="F24" i="25"/>
  <c r="W23" i="25"/>
  <c r="L23" i="25" s="1"/>
  <c r="K23" i="25"/>
  <c r="J23" i="25"/>
  <c r="I23" i="25"/>
  <c r="H23" i="25"/>
  <c r="G23" i="25"/>
  <c r="F23" i="25"/>
  <c r="W22" i="25"/>
  <c r="L22" i="25" s="1"/>
  <c r="K22" i="25"/>
  <c r="J22" i="25"/>
  <c r="I22" i="25"/>
  <c r="H22" i="25"/>
  <c r="G22" i="25"/>
  <c r="F22" i="25"/>
  <c r="W21" i="25"/>
  <c r="L21" i="25" s="1"/>
  <c r="K21" i="25"/>
  <c r="J21" i="25"/>
  <c r="I21" i="25"/>
  <c r="H21" i="25"/>
  <c r="G21" i="25"/>
  <c r="F21" i="25"/>
  <c r="W19" i="25"/>
  <c r="L19" i="25" s="1"/>
  <c r="K19" i="25"/>
  <c r="J19" i="25"/>
  <c r="I19" i="25"/>
  <c r="H19" i="25"/>
  <c r="G19" i="25"/>
  <c r="F19" i="25"/>
  <c r="W18" i="25"/>
  <c r="L18" i="25" s="1"/>
  <c r="K18" i="25"/>
  <c r="J18" i="25"/>
  <c r="I18" i="25"/>
  <c r="H18" i="25"/>
  <c r="G18" i="25"/>
  <c r="F18" i="25"/>
  <c r="W17" i="25"/>
  <c r="L17" i="25" s="1"/>
  <c r="K17" i="25"/>
  <c r="J17" i="25"/>
  <c r="I17" i="25"/>
  <c r="H17" i="25"/>
  <c r="G17" i="25"/>
  <c r="F17" i="25"/>
  <c r="W15" i="25"/>
  <c r="L15" i="25" s="1"/>
  <c r="K15" i="25"/>
  <c r="J15" i="25"/>
  <c r="I15" i="25"/>
  <c r="H15" i="25"/>
  <c r="G15" i="25"/>
  <c r="F15" i="25"/>
  <c r="W14" i="25"/>
  <c r="L14" i="25" s="1"/>
  <c r="K14" i="25"/>
  <c r="J14" i="25"/>
  <c r="I14" i="25"/>
  <c r="H14" i="25"/>
  <c r="G14" i="25"/>
  <c r="F14" i="25"/>
  <c r="W13" i="25"/>
  <c r="L13" i="25" s="1"/>
  <c r="K13" i="25"/>
  <c r="J13" i="25"/>
  <c r="I13" i="25"/>
  <c r="H13" i="25"/>
  <c r="G13" i="25"/>
  <c r="F13" i="25"/>
  <c r="W12" i="25"/>
  <c r="L12" i="25" s="1"/>
  <c r="K12" i="25"/>
  <c r="J12" i="25"/>
  <c r="I12" i="25"/>
  <c r="H12" i="25"/>
  <c r="G12" i="25"/>
  <c r="F12" i="25"/>
  <c r="W11" i="25"/>
  <c r="L11" i="25" s="1"/>
  <c r="K11" i="25"/>
  <c r="J11" i="25"/>
  <c r="I11" i="25"/>
  <c r="H11" i="25"/>
  <c r="G11" i="25"/>
  <c r="F11" i="25"/>
  <c r="W10" i="25"/>
  <c r="L10" i="25" s="1"/>
  <c r="K10" i="25"/>
  <c r="J10" i="25"/>
  <c r="I10" i="25"/>
  <c r="H10" i="25"/>
  <c r="G10" i="25"/>
  <c r="F10" i="25"/>
  <c r="W9" i="25"/>
  <c r="L9" i="25" s="1"/>
  <c r="K9" i="25"/>
  <c r="J9" i="25"/>
  <c r="I9" i="25"/>
  <c r="H9" i="25"/>
  <c r="G9" i="25"/>
  <c r="F9" i="25"/>
  <c r="AQ7" i="25"/>
  <c r="K6" i="25"/>
  <c r="J6" i="25"/>
  <c r="I6" i="25"/>
  <c r="H6" i="25"/>
  <c r="G6" i="25"/>
  <c r="F6" i="25"/>
  <c r="AG40" i="24"/>
  <c r="P40" i="24" s="1"/>
  <c r="AF40" i="24"/>
  <c r="O40" i="24" s="1"/>
  <c r="AE40" i="24"/>
  <c r="N40" i="24" s="1"/>
  <c r="AD40" i="24"/>
  <c r="M40" i="24" s="1"/>
  <c r="AC40" i="24"/>
  <c r="L40" i="24" s="1"/>
  <c r="AB40" i="24"/>
  <c r="K40" i="24" s="1"/>
  <c r="AA40" i="24"/>
  <c r="J40" i="24" s="1"/>
  <c r="Z40" i="24"/>
  <c r="I40" i="24" s="1"/>
  <c r="Y40" i="24"/>
  <c r="H40" i="24" s="1"/>
  <c r="X40" i="24"/>
  <c r="G40" i="24" s="1"/>
  <c r="W40" i="24"/>
  <c r="F40" i="24" s="1"/>
  <c r="AG39" i="24"/>
  <c r="P39" i="24" s="1"/>
  <c r="AF39" i="24"/>
  <c r="O39" i="24" s="1"/>
  <c r="AE39" i="24"/>
  <c r="N39" i="24" s="1"/>
  <c r="AD39" i="24"/>
  <c r="M39" i="24" s="1"/>
  <c r="AC39" i="24"/>
  <c r="L39" i="24" s="1"/>
  <c r="AB39" i="24"/>
  <c r="K39" i="24" s="1"/>
  <c r="AA39" i="24"/>
  <c r="J39" i="24" s="1"/>
  <c r="Z39" i="24"/>
  <c r="I39" i="24" s="1"/>
  <c r="Y39" i="24"/>
  <c r="H39" i="24" s="1"/>
  <c r="X39" i="24"/>
  <c r="G39" i="24" s="1"/>
  <c r="W39" i="24"/>
  <c r="F39" i="24" s="1"/>
  <c r="AG38" i="24"/>
  <c r="P38" i="24" s="1"/>
  <c r="AF38" i="24"/>
  <c r="O38" i="24" s="1"/>
  <c r="AE38" i="24"/>
  <c r="N38" i="24" s="1"/>
  <c r="AD38" i="24"/>
  <c r="M38" i="24" s="1"/>
  <c r="AC38" i="24"/>
  <c r="L38" i="24" s="1"/>
  <c r="AB38" i="24"/>
  <c r="K38" i="24" s="1"/>
  <c r="AA38" i="24"/>
  <c r="J38" i="24" s="1"/>
  <c r="Z38" i="24"/>
  <c r="I38" i="24" s="1"/>
  <c r="Y38" i="24"/>
  <c r="H38" i="24" s="1"/>
  <c r="X38" i="24"/>
  <c r="G38" i="24" s="1"/>
  <c r="W38" i="24"/>
  <c r="F38" i="24" s="1"/>
  <c r="AG37" i="24"/>
  <c r="O37" i="24"/>
  <c r="N37" i="24"/>
  <c r="AD37" i="24"/>
  <c r="M37" i="24" s="1"/>
  <c r="AC37" i="24"/>
  <c r="L37" i="24" s="1"/>
  <c r="AB37" i="24"/>
  <c r="K37" i="24" s="1"/>
  <c r="AA37" i="24"/>
  <c r="J37" i="24" s="1"/>
  <c r="Z37" i="24"/>
  <c r="I37" i="24" s="1"/>
  <c r="Y37" i="24"/>
  <c r="H37" i="24" s="1"/>
  <c r="X37" i="24"/>
  <c r="G37" i="24" s="1"/>
  <c r="W37" i="24"/>
  <c r="F37" i="24" s="1"/>
  <c r="AD36" i="24"/>
  <c r="M36" i="24" s="1"/>
  <c r="AC36" i="24"/>
  <c r="L36" i="24" s="1"/>
  <c r="AB36" i="24"/>
  <c r="K36" i="24" s="1"/>
  <c r="AA36" i="24"/>
  <c r="J36" i="24" s="1"/>
  <c r="Z36" i="24"/>
  <c r="I36" i="24" s="1"/>
  <c r="Y36" i="24"/>
  <c r="H36" i="24" s="1"/>
  <c r="G36" i="24"/>
  <c r="W36" i="24"/>
  <c r="F36" i="24" s="1"/>
  <c r="AG35" i="24"/>
  <c r="P35" i="24" s="1"/>
  <c r="AF35" i="24"/>
  <c r="O35" i="24" s="1"/>
  <c r="AE35" i="24"/>
  <c r="N35" i="24" s="1"/>
  <c r="AD35" i="24"/>
  <c r="M35" i="24" s="1"/>
  <c r="AC35" i="24"/>
  <c r="L35" i="24" s="1"/>
  <c r="AB35" i="24"/>
  <c r="K35" i="24" s="1"/>
  <c r="AA35" i="24"/>
  <c r="J35" i="24" s="1"/>
  <c r="Z35" i="24"/>
  <c r="I35" i="24" s="1"/>
  <c r="Y35" i="24"/>
  <c r="H35" i="24" s="1"/>
  <c r="X35" i="24"/>
  <c r="G35" i="24" s="1"/>
  <c r="W35" i="24"/>
  <c r="F35" i="24" s="1"/>
  <c r="AG34" i="24"/>
  <c r="P34" i="24" s="1"/>
  <c r="AF34" i="24"/>
  <c r="O34" i="24" s="1"/>
  <c r="AE34" i="24"/>
  <c r="N34" i="24" s="1"/>
  <c r="AD34" i="24"/>
  <c r="M34" i="24" s="1"/>
  <c r="AC34" i="24"/>
  <c r="L34" i="24" s="1"/>
  <c r="AB34" i="24"/>
  <c r="K34" i="24" s="1"/>
  <c r="AA34" i="24"/>
  <c r="J34" i="24" s="1"/>
  <c r="Z34" i="24"/>
  <c r="I34" i="24" s="1"/>
  <c r="Y34" i="24"/>
  <c r="H34" i="24" s="1"/>
  <c r="X34" i="24"/>
  <c r="G34" i="24" s="1"/>
  <c r="W34" i="24"/>
  <c r="F34" i="24" s="1"/>
  <c r="AG33" i="24"/>
  <c r="P33" i="24" s="1"/>
  <c r="AF33" i="24"/>
  <c r="O33" i="24" s="1"/>
  <c r="AE33" i="24"/>
  <c r="N33" i="24" s="1"/>
  <c r="AD33" i="24"/>
  <c r="M33" i="24" s="1"/>
  <c r="AC33" i="24"/>
  <c r="L33" i="24" s="1"/>
  <c r="AB33" i="24"/>
  <c r="K33" i="24" s="1"/>
  <c r="AA33" i="24"/>
  <c r="J33" i="24" s="1"/>
  <c r="Z33" i="24"/>
  <c r="I33" i="24" s="1"/>
  <c r="Y33" i="24"/>
  <c r="H33" i="24" s="1"/>
  <c r="X33" i="24"/>
  <c r="G33" i="24" s="1"/>
  <c r="W33" i="24"/>
  <c r="F33" i="24" s="1"/>
  <c r="AG32" i="24"/>
  <c r="P32" i="24" s="1"/>
  <c r="AF32" i="24"/>
  <c r="O32" i="24" s="1"/>
  <c r="AE32" i="24"/>
  <c r="N32" i="24" s="1"/>
  <c r="AD32" i="24"/>
  <c r="M32" i="24" s="1"/>
  <c r="AC32" i="24"/>
  <c r="L32" i="24" s="1"/>
  <c r="AB32" i="24"/>
  <c r="K32" i="24" s="1"/>
  <c r="AA32" i="24"/>
  <c r="J32" i="24" s="1"/>
  <c r="Z32" i="24"/>
  <c r="I32" i="24" s="1"/>
  <c r="Y32" i="24"/>
  <c r="H32" i="24" s="1"/>
  <c r="X32" i="24"/>
  <c r="G32" i="24" s="1"/>
  <c r="W32" i="24"/>
  <c r="F32" i="24" s="1"/>
  <c r="AG31" i="24"/>
  <c r="P31" i="24" s="1"/>
  <c r="AF31" i="24"/>
  <c r="AE31" i="24"/>
  <c r="N31" i="24" s="1"/>
  <c r="AD31" i="24"/>
  <c r="M31" i="24" s="1"/>
  <c r="AC31" i="24"/>
  <c r="L31" i="24" s="1"/>
  <c r="AB31" i="24"/>
  <c r="K31" i="24" s="1"/>
  <c r="AA31" i="24"/>
  <c r="J31" i="24" s="1"/>
  <c r="Z31" i="24"/>
  <c r="I31" i="24" s="1"/>
  <c r="Y31" i="24"/>
  <c r="H31" i="24" s="1"/>
  <c r="X31" i="24"/>
  <c r="G31" i="24" s="1"/>
  <c r="W31" i="24"/>
  <c r="F31" i="24" s="1"/>
  <c r="P29" i="24"/>
  <c r="AF29" i="24"/>
  <c r="O29" i="24" s="1"/>
  <c r="AE29" i="24"/>
  <c r="N29" i="24" s="1"/>
  <c r="AD29" i="24"/>
  <c r="M29" i="24" s="1"/>
  <c r="AC29" i="24"/>
  <c r="L29" i="24" s="1"/>
  <c r="AB29" i="24"/>
  <c r="K29" i="24" s="1"/>
  <c r="AA29" i="24"/>
  <c r="J29" i="24" s="1"/>
  <c r="Z29" i="24"/>
  <c r="I29" i="24" s="1"/>
  <c r="Y29" i="24"/>
  <c r="H29" i="24" s="1"/>
  <c r="X29" i="24"/>
  <c r="G29" i="24" s="1"/>
  <c r="W29" i="24"/>
  <c r="F29" i="24" s="1"/>
  <c r="AF28" i="24"/>
  <c r="O28" i="24" s="1"/>
  <c r="AE28" i="24"/>
  <c r="N28" i="24" s="1"/>
  <c r="AD28" i="24"/>
  <c r="M28" i="24" s="1"/>
  <c r="AC28" i="24"/>
  <c r="L28" i="24" s="1"/>
  <c r="AB28" i="24"/>
  <c r="K28" i="24" s="1"/>
  <c r="AA28" i="24"/>
  <c r="J28" i="24" s="1"/>
  <c r="Z28" i="24"/>
  <c r="I28" i="24" s="1"/>
  <c r="Y28" i="24"/>
  <c r="H28" i="24" s="1"/>
  <c r="X28" i="24"/>
  <c r="G28" i="24" s="1"/>
  <c r="W28" i="24"/>
  <c r="F28" i="24" s="1"/>
  <c r="AG27" i="24"/>
  <c r="P27" i="24" s="1"/>
  <c r="AF27" i="24"/>
  <c r="O27" i="24" s="1"/>
  <c r="AE27" i="24"/>
  <c r="N27" i="24" s="1"/>
  <c r="AD27" i="24"/>
  <c r="M27" i="24" s="1"/>
  <c r="AC27" i="24"/>
  <c r="L27" i="24" s="1"/>
  <c r="AB27" i="24"/>
  <c r="K27" i="24" s="1"/>
  <c r="AA27" i="24"/>
  <c r="J27" i="24" s="1"/>
  <c r="Z27" i="24"/>
  <c r="I27" i="24" s="1"/>
  <c r="Y27" i="24"/>
  <c r="H27" i="24" s="1"/>
  <c r="X27" i="24"/>
  <c r="G27" i="24" s="1"/>
  <c r="W27" i="24"/>
  <c r="F27" i="24" s="1"/>
  <c r="AG26" i="24"/>
  <c r="AF26" i="24"/>
  <c r="O26" i="24" s="1"/>
  <c r="AE26" i="24"/>
  <c r="N26" i="24" s="1"/>
  <c r="AD26" i="24"/>
  <c r="M26" i="24" s="1"/>
  <c r="AC26" i="24"/>
  <c r="L26" i="24" s="1"/>
  <c r="AB26" i="24"/>
  <c r="K26" i="24" s="1"/>
  <c r="AA26" i="24"/>
  <c r="J26" i="24" s="1"/>
  <c r="Z26" i="24"/>
  <c r="I26" i="24" s="1"/>
  <c r="Y26" i="24"/>
  <c r="H26" i="24" s="1"/>
  <c r="X26" i="24"/>
  <c r="G26" i="24" s="1"/>
  <c r="W26" i="24"/>
  <c r="F26" i="24" s="1"/>
  <c r="AG24" i="24"/>
  <c r="P24" i="24" s="1"/>
  <c r="AF24" i="24"/>
  <c r="O24" i="24" s="1"/>
  <c r="AE24" i="24"/>
  <c r="N24" i="24" s="1"/>
  <c r="AD24" i="24"/>
  <c r="M24" i="24" s="1"/>
  <c r="AC24" i="24"/>
  <c r="L24" i="24" s="1"/>
  <c r="AB24" i="24"/>
  <c r="K24" i="24" s="1"/>
  <c r="AA24" i="24"/>
  <c r="J24" i="24" s="1"/>
  <c r="Z24" i="24"/>
  <c r="I24" i="24" s="1"/>
  <c r="Y24" i="24"/>
  <c r="H24" i="24" s="1"/>
  <c r="X24" i="24"/>
  <c r="G24" i="24" s="1"/>
  <c r="W24" i="24"/>
  <c r="F24" i="24" s="1"/>
  <c r="AG23" i="24"/>
  <c r="P23" i="24" s="1"/>
  <c r="AF23" i="24"/>
  <c r="O23" i="24" s="1"/>
  <c r="AE23" i="24"/>
  <c r="N23" i="24" s="1"/>
  <c r="AD23" i="24"/>
  <c r="M23" i="24" s="1"/>
  <c r="AC23" i="24"/>
  <c r="L23" i="24" s="1"/>
  <c r="AB23" i="24"/>
  <c r="K23" i="24" s="1"/>
  <c r="AA23" i="24"/>
  <c r="J23" i="24" s="1"/>
  <c r="Z23" i="24"/>
  <c r="I23" i="24" s="1"/>
  <c r="Y23" i="24"/>
  <c r="H23" i="24" s="1"/>
  <c r="X23" i="24"/>
  <c r="G23" i="24" s="1"/>
  <c r="W23" i="24"/>
  <c r="F23" i="24" s="1"/>
  <c r="AG22" i="24"/>
  <c r="P22" i="24" s="1"/>
  <c r="AF22" i="24"/>
  <c r="O22" i="24" s="1"/>
  <c r="AE22" i="24"/>
  <c r="N22" i="24" s="1"/>
  <c r="AD22" i="24"/>
  <c r="M22" i="24" s="1"/>
  <c r="AC22" i="24"/>
  <c r="L22" i="24" s="1"/>
  <c r="AB22" i="24"/>
  <c r="K22" i="24" s="1"/>
  <c r="AA22" i="24"/>
  <c r="J22" i="24" s="1"/>
  <c r="Z22" i="24"/>
  <c r="I22" i="24" s="1"/>
  <c r="Y22" i="24"/>
  <c r="H22" i="24" s="1"/>
  <c r="X22" i="24"/>
  <c r="G22" i="24" s="1"/>
  <c r="W22" i="24"/>
  <c r="F22" i="24" s="1"/>
  <c r="AG21" i="24"/>
  <c r="P21" i="24" s="1"/>
  <c r="AF21" i="24"/>
  <c r="O21" i="24" s="1"/>
  <c r="AE21" i="24"/>
  <c r="N21" i="24" s="1"/>
  <c r="AD21" i="24"/>
  <c r="M21" i="24" s="1"/>
  <c r="AC21" i="24"/>
  <c r="L21" i="24" s="1"/>
  <c r="AB21" i="24"/>
  <c r="K21" i="24" s="1"/>
  <c r="AA21" i="24"/>
  <c r="J21" i="24" s="1"/>
  <c r="Z21" i="24"/>
  <c r="I21" i="24" s="1"/>
  <c r="Y21" i="24"/>
  <c r="H21" i="24" s="1"/>
  <c r="X21" i="24"/>
  <c r="G21" i="24" s="1"/>
  <c r="W21" i="24"/>
  <c r="F21" i="24" s="1"/>
  <c r="AG20" i="24"/>
  <c r="P20" i="24" s="1"/>
  <c r="AF20" i="24"/>
  <c r="O20" i="24" s="1"/>
  <c r="AE20" i="24"/>
  <c r="N20" i="24" s="1"/>
  <c r="AD20" i="24"/>
  <c r="M20" i="24" s="1"/>
  <c r="AC20" i="24"/>
  <c r="L20" i="24" s="1"/>
  <c r="AB20" i="24"/>
  <c r="K20" i="24" s="1"/>
  <c r="AA20" i="24"/>
  <c r="J20" i="24" s="1"/>
  <c r="Z20" i="24"/>
  <c r="I20" i="24" s="1"/>
  <c r="Y20" i="24"/>
  <c r="H20" i="24" s="1"/>
  <c r="X20" i="24"/>
  <c r="G20" i="24" s="1"/>
  <c r="W20" i="24"/>
  <c r="F20" i="24" s="1"/>
  <c r="AG19" i="24"/>
  <c r="AF19" i="24"/>
  <c r="O19" i="24" s="1"/>
  <c r="AE19" i="24"/>
  <c r="N19" i="24" s="1"/>
  <c r="AD19" i="24"/>
  <c r="M19" i="24" s="1"/>
  <c r="AC19" i="24"/>
  <c r="L19" i="24" s="1"/>
  <c r="AB19" i="24"/>
  <c r="K19" i="24" s="1"/>
  <c r="AA19" i="24"/>
  <c r="J19" i="24" s="1"/>
  <c r="Z19" i="24"/>
  <c r="I19" i="24" s="1"/>
  <c r="Y19" i="24"/>
  <c r="H19" i="24" s="1"/>
  <c r="X19" i="24"/>
  <c r="G19" i="24" s="1"/>
  <c r="W19" i="24"/>
  <c r="F19" i="24" s="1"/>
  <c r="O18" i="24"/>
  <c r="AE18" i="24"/>
  <c r="N18" i="24" s="1"/>
  <c r="AD18" i="24"/>
  <c r="M18" i="24" s="1"/>
  <c r="AC18" i="24"/>
  <c r="L18" i="24" s="1"/>
  <c r="AB18" i="24"/>
  <c r="K18" i="24" s="1"/>
  <c r="AA18" i="24"/>
  <c r="J18" i="24" s="1"/>
  <c r="Z18" i="24"/>
  <c r="I18" i="24" s="1"/>
  <c r="Y18" i="24"/>
  <c r="H18" i="24" s="1"/>
  <c r="X18" i="24"/>
  <c r="G18" i="24" s="1"/>
  <c r="W18" i="24"/>
  <c r="F18" i="24" s="1"/>
  <c r="AG17" i="24"/>
  <c r="P17" i="24" s="1"/>
  <c r="AF17" i="24"/>
  <c r="O17" i="24" s="1"/>
  <c r="AE17" i="24"/>
  <c r="N17" i="24" s="1"/>
  <c r="AD17" i="24"/>
  <c r="M17" i="24" s="1"/>
  <c r="AC17" i="24"/>
  <c r="L17" i="24" s="1"/>
  <c r="AB17" i="24"/>
  <c r="K17" i="24" s="1"/>
  <c r="AA17" i="24"/>
  <c r="J17" i="24" s="1"/>
  <c r="Z17" i="24"/>
  <c r="I17" i="24" s="1"/>
  <c r="Y17" i="24"/>
  <c r="H17" i="24" s="1"/>
  <c r="X17" i="24"/>
  <c r="G17" i="24" s="1"/>
  <c r="W17" i="24"/>
  <c r="F17" i="24" s="1"/>
  <c r="AG16" i="24"/>
  <c r="P16" i="24" s="1"/>
  <c r="AF16" i="24"/>
  <c r="O16" i="24" s="1"/>
  <c r="AE16" i="24"/>
  <c r="N16" i="24" s="1"/>
  <c r="AD16" i="24"/>
  <c r="M16" i="24" s="1"/>
  <c r="AC16" i="24"/>
  <c r="L16" i="24" s="1"/>
  <c r="AB16" i="24"/>
  <c r="K16" i="24" s="1"/>
  <c r="AA16" i="24"/>
  <c r="J16" i="24" s="1"/>
  <c r="Z16" i="24"/>
  <c r="I16" i="24" s="1"/>
  <c r="Y16" i="24"/>
  <c r="H16" i="24" s="1"/>
  <c r="X16" i="24"/>
  <c r="G16" i="24" s="1"/>
  <c r="W16" i="24"/>
  <c r="F16" i="24" s="1"/>
  <c r="AG15" i="24"/>
  <c r="P15" i="24" s="1"/>
  <c r="AF15" i="24"/>
  <c r="O15" i="24" s="1"/>
  <c r="AE15" i="24"/>
  <c r="N15" i="24" s="1"/>
  <c r="AD15" i="24"/>
  <c r="M15" i="24" s="1"/>
  <c r="AC15" i="24"/>
  <c r="L15" i="24" s="1"/>
  <c r="AB15" i="24"/>
  <c r="K15" i="24" s="1"/>
  <c r="AA15" i="24"/>
  <c r="J15" i="24" s="1"/>
  <c r="Z15" i="24"/>
  <c r="I15" i="24" s="1"/>
  <c r="Y15" i="24"/>
  <c r="H15" i="24" s="1"/>
  <c r="X15" i="24"/>
  <c r="G15" i="24" s="1"/>
  <c r="W15" i="24"/>
  <c r="F15" i="24" s="1"/>
  <c r="AG14" i="24"/>
  <c r="AF14" i="24"/>
  <c r="O14" i="24" s="1"/>
  <c r="AE14" i="24"/>
  <c r="N14" i="24" s="1"/>
  <c r="AD14" i="24"/>
  <c r="M14" i="24" s="1"/>
  <c r="AC14" i="24"/>
  <c r="L14" i="24" s="1"/>
  <c r="AB14" i="24"/>
  <c r="K14" i="24" s="1"/>
  <c r="AA14" i="24"/>
  <c r="J14" i="24" s="1"/>
  <c r="Z14" i="24"/>
  <c r="I14" i="24" s="1"/>
  <c r="Y14" i="24"/>
  <c r="H14" i="24" s="1"/>
  <c r="X14" i="24"/>
  <c r="G14" i="24" s="1"/>
  <c r="W14" i="24"/>
  <c r="F14" i="24" s="1"/>
  <c r="AG13" i="24"/>
  <c r="P13" i="24" s="1"/>
  <c r="AF13" i="24"/>
  <c r="O13" i="24" s="1"/>
  <c r="AE13" i="24"/>
  <c r="N13" i="24" s="1"/>
  <c r="AD13" i="24"/>
  <c r="M13" i="24" s="1"/>
  <c r="AC13" i="24"/>
  <c r="L13" i="24" s="1"/>
  <c r="AB13" i="24"/>
  <c r="K13" i="24" s="1"/>
  <c r="AA13" i="24"/>
  <c r="J13" i="24" s="1"/>
  <c r="Z13" i="24"/>
  <c r="I13" i="24" s="1"/>
  <c r="Y13" i="24"/>
  <c r="H13" i="24" s="1"/>
  <c r="X13" i="24"/>
  <c r="G13" i="24" s="1"/>
  <c r="W13" i="24"/>
  <c r="F13" i="24" s="1"/>
  <c r="AG12" i="24"/>
  <c r="P12" i="24" s="1"/>
  <c r="AF12" i="24"/>
  <c r="O12" i="24" s="1"/>
  <c r="AE12" i="24"/>
  <c r="N12" i="24" s="1"/>
  <c r="AD12" i="24"/>
  <c r="M12" i="24" s="1"/>
  <c r="AC12" i="24"/>
  <c r="L12" i="24" s="1"/>
  <c r="AB12" i="24"/>
  <c r="K12" i="24" s="1"/>
  <c r="AA12" i="24"/>
  <c r="J12" i="24" s="1"/>
  <c r="Z12" i="24"/>
  <c r="I12" i="24" s="1"/>
  <c r="Y12" i="24"/>
  <c r="H12" i="24" s="1"/>
  <c r="X12" i="24"/>
  <c r="G12" i="24" s="1"/>
  <c r="W12" i="24"/>
  <c r="F12" i="24" s="1"/>
  <c r="AG11" i="24"/>
  <c r="P11" i="24" s="1"/>
  <c r="AF11" i="24"/>
  <c r="O11" i="24" s="1"/>
  <c r="AE11" i="24"/>
  <c r="N11" i="24" s="1"/>
  <c r="AD11" i="24"/>
  <c r="M11" i="24" s="1"/>
  <c r="AC11" i="24"/>
  <c r="L11" i="24" s="1"/>
  <c r="AB11" i="24"/>
  <c r="K11" i="24" s="1"/>
  <c r="AA11" i="24"/>
  <c r="J11" i="24" s="1"/>
  <c r="Z11" i="24"/>
  <c r="I11" i="24" s="1"/>
  <c r="Y11" i="24"/>
  <c r="H11" i="24" s="1"/>
  <c r="X11" i="24"/>
  <c r="G11" i="24" s="1"/>
  <c r="W11" i="24"/>
  <c r="F11" i="24" s="1"/>
  <c r="AG10" i="24"/>
  <c r="P10" i="24" s="1"/>
  <c r="AF10" i="24"/>
  <c r="O10" i="24" s="1"/>
  <c r="AE10" i="24"/>
  <c r="N10" i="24" s="1"/>
  <c r="AD10" i="24"/>
  <c r="M10" i="24" s="1"/>
  <c r="AC10" i="24"/>
  <c r="L10" i="24" s="1"/>
  <c r="AB10" i="24"/>
  <c r="K10" i="24" s="1"/>
  <c r="AA10" i="24"/>
  <c r="J10" i="24" s="1"/>
  <c r="Z10" i="24"/>
  <c r="I10" i="24" s="1"/>
  <c r="Y10" i="24"/>
  <c r="H10" i="24" s="1"/>
  <c r="X10" i="24"/>
  <c r="G10" i="24" s="1"/>
  <c r="W10" i="24"/>
  <c r="F10" i="24" s="1"/>
  <c r="P9" i="24"/>
  <c r="O9" i="24"/>
  <c r="AE9" i="24"/>
  <c r="N9" i="24" s="1"/>
  <c r="AD9" i="24"/>
  <c r="M9" i="24" s="1"/>
  <c r="AC9" i="24"/>
  <c r="L9" i="24" s="1"/>
  <c r="AB9" i="24"/>
  <c r="K9" i="24" s="1"/>
  <c r="AA9" i="24"/>
  <c r="J9" i="24" s="1"/>
  <c r="Z9" i="24"/>
  <c r="I9" i="24" s="1"/>
  <c r="Y9" i="24"/>
  <c r="H9" i="24" s="1"/>
  <c r="X9" i="24"/>
  <c r="G9" i="24" s="1"/>
  <c r="W9" i="24"/>
  <c r="F9" i="24" s="1"/>
  <c r="O8" i="24"/>
  <c r="AE8" i="24"/>
  <c r="N8" i="24" s="1"/>
  <c r="AD8" i="24"/>
  <c r="M8" i="24" s="1"/>
  <c r="AC8" i="24"/>
  <c r="L8" i="24" s="1"/>
  <c r="AB8" i="24"/>
  <c r="K8" i="24" s="1"/>
  <c r="AA8" i="24"/>
  <c r="J8" i="24" s="1"/>
  <c r="Z8" i="24"/>
  <c r="I8" i="24" s="1"/>
  <c r="Y8" i="24"/>
  <c r="H8" i="24" s="1"/>
  <c r="X8" i="24"/>
  <c r="G8" i="24" s="1"/>
  <c r="W8" i="24"/>
  <c r="F8" i="24" s="1"/>
  <c r="AQ7" i="24"/>
  <c r="AG6" i="24"/>
  <c r="V8" i="24" s="1"/>
  <c r="AF6" i="24"/>
  <c r="O5" i="24" s="1"/>
  <c r="AE6" i="24"/>
  <c r="N5" i="24" s="1"/>
  <c r="AD6" i="24"/>
  <c r="M5" i="24" s="1"/>
  <c r="AC6" i="24"/>
  <c r="L5" i="24" s="1"/>
  <c r="AB6" i="24"/>
  <c r="K5" i="24" s="1"/>
  <c r="AA6" i="24"/>
  <c r="J5" i="24" s="1"/>
  <c r="Z6" i="24"/>
  <c r="I5" i="24" s="1"/>
  <c r="Y6" i="24"/>
  <c r="H5" i="24" s="1"/>
  <c r="X6" i="24"/>
  <c r="G5" i="24" s="1"/>
  <c r="W6" i="24"/>
  <c r="F5" i="24" s="1"/>
  <c r="AM83" i="23"/>
  <c r="AL83" i="23"/>
  <c r="AK83" i="23"/>
  <c r="AJ83" i="23"/>
  <c r="AI83" i="23"/>
  <c r="AH83" i="23"/>
  <c r="AG83" i="23"/>
  <c r="AF83" i="23"/>
  <c r="AE83" i="23"/>
  <c r="AD83" i="23"/>
  <c r="AM82" i="23"/>
  <c r="R37" i="23" s="1"/>
  <c r="AL82" i="23"/>
  <c r="Q37" i="23" s="1"/>
  <c r="AK82" i="23"/>
  <c r="P37" i="23" s="1"/>
  <c r="AJ82" i="23"/>
  <c r="O37" i="23" s="1"/>
  <c r="AI82" i="23"/>
  <c r="N37" i="23" s="1"/>
  <c r="AH82" i="23"/>
  <c r="M37" i="23" s="1"/>
  <c r="AG82" i="23"/>
  <c r="L37" i="23" s="1"/>
  <c r="AF82" i="23"/>
  <c r="K37" i="23" s="1"/>
  <c r="AE82" i="23"/>
  <c r="J37" i="23" s="1"/>
  <c r="AD82" i="23"/>
  <c r="I37" i="23" s="1"/>
  <c r="AM81" i="23"/>
  <c r="R29" i="23" s="1"/>
  <c r="AL81" i="23"/>
  <c r="Q29" i="23" s="1"/>
  <c r="AK81" i="23"/>
  <c r="P29" i="23" s="1"/>
  <c r="AJ81" i="23"/>
  <c r="O29" i="23" s="1"/>
  <c r="AI81" i="23"/>
  <c r="N29" i="23" s="1"/>
  <c r="AH81" i="23"/>
  <c r="M29" i="23" s="1"/>
  <c r="AG81" i="23"/>
  <c r="L29" i="23" s="1"/>
  <c r="AF81" i="23"/>
  <c r="K29" i="23" s="1"/>
  <c r="AE81" i="23"/>
  <c r="J29" i="23" s="1"/>
  <c r="AD81" i="23"/>
  <c r="I29" i="23" s="1"/>
  <c r="R20" i="23"/>
  <c r="AL80" i="23"/>
  <c r="Q20" i="23" s="1"/>
  <c r="AK80" i="23"/>
  <c r="P20" i="23" s="1"/>
  <c r="AJ80" i="23"/>
  <c r="O20" i="23" s="1"/>
  <c r="AI80" i="23"/>
  <c r="N20" i="23" s="1"/>
  <c r="AH80" i="23"/>
  <c r="M20" i="23" s="1"/>
  <c r="AG80" i="23"/>
  <c r="L20" i="23" s="1"/>
  <c r="AF80" i="23"/>
  <c r="K20" i="23" s="1"/>
  <c r="AE80" i="23"/>
  <c r="J20" i="23" s="1"/>
  <c r="AD80" i="23"/>
  <c r="I20" i="23" s="1"/>
  <c r="AS57" i="23"/>
  <c r="AR57" i="23"/>
  <c r="AP57" i="23"/>
  <c r="U57" i="23" s="1"/>
  <c r="AO57" i="23"/>
  <c r="T57" i="23" s="1"/>
  <c r="S57" i="23"/>
  <c r="R57" i="23"/>
  <c r="Q57" i="23"/>
  <c r="P57" i="23"/>
  <c r="O57" i="23"/>
  <c r="N57" i="23"/>
  <c r="M57" i="23"/>
  <c r="L57" i="23"/>
  <c r="K57" i="23"/>
  <c r="J57" i="23"/>
  <c r="I57" i="23"/>
  <c r="AS56" i="23"/>
  <c r="AR56" i="23"/>
  <c r="AP56" i="23"/>
  <c r="U56" i="23" s="1"/>
  <c r="AO56" i="23"/>
  <c r="T56" i="23" s="1"/>
  <c r="S56" i="23"/>
  <c r="R56" i="23"/>
  <c r="Q56" i="23"/>
  <c r="P56" i="23"/>
  <c r="O56" i="23"/>
  <c r="N56" i="23"/>
  <c r="M56" i="23"/>
  <c r="L56" i="23"/>
  <c r="K56" i="23"/>
  <c r="J56" i="23"/>
  <c r="I56" i="23"/>
  <c r="AS55" i="23"/>
  <c r="AR55" i="23"/>
  <c r="AP55" i="23"/>
  <c r="U55" i="23" s="1"/>
  <c r="AO55" i="23"/>
  <c r="T55" i="23" s="1"/>
  <c r="S55" i="23"/>
  <c r="R55" i="23"/>
  <c r="Q55" i="23"/>
  <c r="P55" i="23"/>
  <c r="O55" i="23"/>
  <c r="N55" i="23"/>
  <c r="M55" i="23"/>
  <c r="L55" i="23"/>
  <c r="K55" i="23"/>
  <c r="J55" i="23"/>
  <c r="I55" i="23"/>
  <c r="AS54" i="23"/>
  <c r="AR54" i="23"/>
  <c r="AP54" i="23"/>
  <c r="U54" i="23" s="1"/>
  <c r="AO54" i="23"/>
  <c r="T54" i="23" s="1"/>
  <c r="S54" i="23"/>
  <c r="R54" i="23"/>
  <c r="Q54" i="23"/>
  <c r="P54" i="23"/>
  <c r="O54" i="23"/>
  <c r="N54" i="23"/>
  <c r="M54" i="23"/>
  <c r="L54" i="23"/>
  <c r="K54" i="23"/>
  <c r="J54" i="23"/>
  <c r="I54" i="23"/>
  <c r="AS53" i="23"/>
  <c r="AR53" i="23"/>
  <c r="S53" i="23"/>
  <c r="R53" i="23"/>
  <c r="Q53" i="23"/>
  <c r="P53" i="23"/>
  <c r="O53" i="23"/>
  <c r="N53" i="23"/>
  <c r="M53" i="23"/>
  <c r="L53" i="23"/>
  <c r="K53" i="23"/>
  <c r="J53" i="23"/>
  <c r="I53" i="23"/>
  <c r="AS52" i="23"/>
  <c r="AR52" i="23"/>
  <c r="S52" i="23"/>
  <c r="R52" i="23"/>
  <c r="Q52" i="23"/>
  <c r="P52" i="23"/>
  <c r="O52" i="23"/>
  <c r="N52" i="23"/>
  <c r="M52" i="23"/>
  <c r="L52" i="23"/>
  <c r="K52" i="23"/>
  <c r="J52" i="23"/>
  <c r="I52" i="23"/>
  <c r="AS51" i="23"/>
  <c r="AR51" i="23"/>
  <c r="S51" i="23"/>
  <c r="R51" i="23"/>
  <c r="Q51" i="23"/>
  <c r="P51" i="23"/>
  <c r="O51" i="23"/>
  <c r="N51" i="23"/>
  <c r="M51" i="23"/>
  <c r="L51" i="23"/>
  <c r="K51" i="23"/>
  <c r="J51" i="23"/>
  <c r="I51" i="23"/>
  <c r="AS50" i="23"/>
  <c r="AR50" i="23"/>
  <c r="U50" i="23"/>
  <c r="T50" i="23"/>
  <c r="S50" i="23"/>
  <c r="R50" i="23"/>
  <c r="Q50" i="23"/>
  <c r="P50" i="23"/>
  <c r="O50" i="23"/>
  <c r="N50" i="23"/>
  <c r="M50" i="23"/>
  <c r="L50" i="23"/>
  <c r="K50" i="23"/>
  <c r="J50" i="23"/>
  <c r="I50" i="23"/>
  <c r="AS49" i="23"/>
  <c r="AR49" i="23"/>
  <c r="S49" i="23"/>
  <c r="R49" i="23"/>
  <c r="Q49" i="23"/>
  <c r="P49" i="23"/>
  <c r="O49" i="23"/>
  <c r="N49" i="23"/>
  <c r="M49" i="23"/>
  <c r="L49" i="23"/>
  <c r="K49" i="23"/>
  <c r="J49" i="23"/>
  <c r="I49" i="23"/>
  <c r="AS48" i="23"/>
  <c r="AR48" i="23"/>
  <c r="S48" i="23"/>
  <c r="R48" i="23"/>
  <c r="Q48" i="23"/>
  <c r="P48" i="23"/>
  <c r="O48" i="23"/>
  <c r="N48" i="23"/>
  <c r="M48" i="23"/>
  <c r="L48" i="23"/>
  <c r="K48" i="23"/>
  <c r="J48" i="23"/>
  <c r="I48" i="23"/>
  <c r="AS47" i="23"/>
  <c r="AR47" i="23"/>
  <c r="S47" i="23"/>
  <c r="R47" i="23"/>
  <c r="Q47" i="23"/>
  <c r="P47" i="23"/>
  <c r="O47" i="23"/>
  <c r="N47" i="23"/>
  <c r="M47" i="23"/>
  <c r="L47" i="23"/>
  <c r="K47" i="23"/>
  <c r="J47" i="23"/>
  <c r="I47" i="23"/>
  <c r="AS46" i="23"/>
  <c r="AR46" i="23"/>
  <c r="S46" i="23"/>
  <c r="R46" i="23"/>
  <c r="Q46" i="23"/>
  <c r="P46" i="23"/>
  <c r="O46" i="23"/>
  <c r="N46" i="23"/>
  <c r="M46" i="23"/>
  <c r="L46" i="23"/>
  <c r="K46" i="23"/>
  <c r="J46" i="23"/>
  <c r="I46" i="23"/>
  <c r="AS45" i="23"/>
  <c r="AR45" i="23"/>
  <c r="AP45" i="23"/>
  <c r="U45" i="23" s="1"/>
  <c r="AO45" i="23"/>
  <c r="T45" i="23" s="1"/>
  <c r="S45" i="23"/>
  <c r="R45" i="23"/>
  <c r="Q45" i="23"/>
  <c r="P45" i="23"/>
  <c r="O45" i="23"/>
  <c r="N45" i="23"/>
  <c r="M45" i="23"/>
  <c r="L45" i="23"/>
  <c r="K45" i="23"/>
  <c r="J45" i="23"/>
  <c r="I45" i="23"/>
  <c r="AS44" i="23"/>
  <c r="AR44" i="23"/>
  <c r="AP44" i="23"/>
  <c r="U44" i="23" s="1"/>
  <c r="AO44" i="23"/>
  <c r="T44" i="23" s="1"/>
  <c r="S44" i="23"/>
  <c r="R44" i="23"/>
  <c r="Q44" i="23"/>
  <c r="P44" i="23"/>
  <c r="O44" i="23"/>
  <c r="N44" i="23"/>
  <c r="M44" i="23"/>
  <c r="L44" i="23"/>
  <c r="K44" i="23"/>
  <c r="J44" i="23"/>
  <c r="I44" i="23"/>
  <c r="AS43" i="23"/>
  <c r="AR43" i="23"/>
  <c r="S43" i="23"/>
  <c r="R43" i="23"/>
  <c r="Q43" i="23"/>
  <c r="P43" i="23"/>
  <c r="O43" i="23"/>
  <c r="N43" i="23"/>
  <c r="M43" i="23"/>
  <c r="L43" i="23"/>
  <c r="K43" i="23"/>
  <c r="J43" i="23"/>
  <c r="I43" i="23"/>
  <c r="AS42" i="23"/>
  <c r="AR42" i="23"/>
  <c r="S42" i="23"/>
  <c r="R42" i="23"/>
  <c r="Q42" i="23"/>
  <c r="P42" i="23"/>
  <c r="O42" i="23"/>
  <c r="N42" i="23"/>
  <c r="M42" i="23"/>
  <c r="L42" i="23"/>
  <c r="K42" i="23"/>
  <c r="J42" i="23"/>
  <c r="I42" i="23"/>
  <c r="AR41" i="23"/>
  <c r="S41" i="23"/>
  <c r="R41" i="23"/>
  <c r="Q41" i="23"/>
  <c r="P41" i="23"/>
  <c r="O41" i="23"/>
  <c r="N41" i="23"/>
  <c r="M41" i="23"/>
  <c r="L41" i="23"/>
  <c r="K41" i="23"/>
  <c r="J41" i="23"/>
  <c r="I41" i="23"/>
  <c r="AS40" i="23"/>
  <c r="AR40" i="23"/>
  <c r="S40" i="23"/>
  <c r="R40" i="23"/>
  <c r="Q40" i="23"/>
  <c r="P40" i="23"/>
  <c r="O40" i="23"/>
  <c r="N40" i="23"/>
  <c r="M40" i="23"/>
  <c r="L40" i="23"/>
  <c r="K40" i="23"/>
  <c r="J40" i="23"/>
  <c r="I40" i="23"/>
  <c r="AS39" i="23"/>
  <c r="AR39" i="23"/>
  <c r="S39" i="23"/>
  <c r="R39" i="23"/>
  <c r="Q39" i="23"/>
  <c r="P39" i="23"/>
  <c r="O39" i="23"/>
  <c r="N39" i="23"/>
  <c r="M39" i="23"/>
  <c r="L39" i="23"/>
  <c r="K39" i="23"/>
  <c r="J39" i="23"/>
  <c r="I39" i="23"/>
  <c r="AS38" i="23"/>
  <c r="AR38" i="23"/>
  <c r="AP38" i="23"/>
  <c r="U38" i="23" s="1"/>
  <c r="AO38" i="23"/>
  <c r="T38" i="23" s="1"/>
  <c r="S38" i="23"/>
  <c r="R38" i="23"/>
  <c r="Q38" i="23"/>
  <c r="P38" i="23"/>
  <c r="O38" i="23"/>
  <c r="N38" i="23"/>
  <c r="M38" i="23"/>
  <c r="L38" i="23"/>
  <c r="K38" i="23"/>
  <c r="J38" i="23"/>
  <c r="I38" i="23"/>
  <c r="AS37" i="23"/>
  <c r="AR37" i="23"/>
  <c r="S37" i="23"/>
  <c r="AS36" i="23"/>
  <c r="AR36" i="23"/>
  <c r="S36" i="23"/>
  <c r="R36" i="23"/>
  <c r="Q36" i="23"/>
  <c r="P36" i="23"/>
  <c r="O36" i="23"/>
  <c r="N36" i="23"/>
  <c r="M36" i="23"/>
  <c r="L36" i="23"/>
  <c r="K36" i="23"/>
  <c r="J36" i="23"/>
  <c r="I36" i="23"/>
  <c r="AS35" i="23"/>
  <c r="AR35" i="23"/>
  <c r="S35" i="23"/>
  <c r="R35" i="23"/>
  <c r="Q35" i="23"/>
  <c r="P35" i="23"/>
  <c r="O35" i="23"/>
  <c r="N35" i="23"/>
  <c r="M35" i="23"/>
  <c r="L35" i="23"/>
  <c r="K35" i="23"/>
  <c r="J35" i="23"/>
  <c r="I35" i="23"/>
  <c r="AS34" i="23"/>
  <c r="AR34" i="23"/>
  <c r="S34" i="23"/>
  <c r="R34" i="23"/>
  <c r="Q34" i="23"/>
  <c r="P34" i="23"/>
  <c r="O34" i="23"/>
  <c r="N34" i="23"/>
  <c r="M34" i="23"/>
  <c r="L34" i="23"/>
  <c r="K34" i="23"/>
  <c r="J34" i="23"/>
  <c r="I34" i="23"/>
  <c r="AS33" i="23"/>
  <c r="AR33" i="23"/>
  <c r="S33" i="23"/>
  <c r="R33" i="23"/>
  <c r="Q33" i="23"/>
  <c r="P33" i="23"/>
  <c r="O33" i="23"/>
  <c r="N33" i="23"/>
  <c r="M33" i="23"/>
  <c r="L33" i="23"/>
  <c r="K33" i="23"/>
  <c r="J33" i="23"/>
  <c r="I33" i="23"/>
  <c r="AS32" i="23"/>
  <c r="AR32" i="23"/>
  <c r="AP32" i="23"/>
  <c r="U32" i="23" s="1"/>
  <c r="AO32" i="23"/>
  <c r="T32" i="23" s="1"/>
  <c r="S32" i="23"/>
  <c r="R32" i="23"/>
  <c r="Q32" i="23"/>
  <c r="P32" i="23"/>
  <c r="O32" i="23"/>
  <c r="N32" i="23"/>
  <c r="M32" i="23"/>
  <c r="L32" i="23"/>
  <c r="K32" i="23"/>
  <c r="J32" i="23"/>
  <c r="I32" i="23"/>
  <c r="AS31" i="23"/>
  <c r="AR31" i="23"/>
  <c r="AP31" i="23"/>
  <c r="U31" i="23" s="1"/>
  <c r="AO31" i="23"/>
  <c r="T31" i="23" s="1"/>
  <c r="S31" i="23"/>
  <c r="R31" i="23"/>
  <c r="Q31" i="23"/>
  <c r="P31" i="23"/>
  <c r="O31" i="23"/>
  <c r="N31" i="23"/>
  <c r="M31" i="23"/>
  <c r="L31" i="23"/>
  <c r="K31" i="23"/>
  <c r="J31" i="23"/>
  <c r="I31" i="23"/>
  <c r="AS30" i="23"/>
  <c r="AR30" i="23"/>
  <c r="S30" i="23"/>
  <c r="R30" i="23"/>
  <c r="Q30" i="23"/>
  <c r="P30" i="23"/>
  <c r="O30" i="23"/>
  <c r="N30" i="23"/>
  <c r="M30" i="23"/>
  <c r="L30" i="23"/>
  <c r="K30" i="23"/>
  <c r="J30" i="23"/>
  <c r="I30" i="23"/>
  <c r="AS29" i="23"/>
  <c r="AR29" i="23"/>
  <c r="S29" i="23"/>
  <c r="AS28" i="23"/>
  <c r="AR28" i="23"/>
  <c r="S28" i="23"/>
  <c r="R28" i="23"/>
  <c r="Q28" i="23"/>
  <c r="P28" i="23"/>
  <c r="O28" i="23"/>
  <c r="N28" i="23"/>
  <c r="M28" i="23"/>
  <c r="L28" i="23"/>
  <c r="K28" i="23"/>
  <c r="J28" i="23"/>
  <c r="I28" i="23"/>
  <c r="AS27" i="23"/>
  <c r="AR27" i="23"/>
  <c r="S27" i="23"/>
  <c r="R27" i="23"/>
  <c r="Q27" i="23"/>
  <c r="P27" i="23"/>
  <c r="O27" i="23"/>
  <c r="N27" i="23"/>
  <c r="M27" i="23"/>
  <c r="L27" i="23"/>
  <c r="K27" i="23"/>
  <c r="J27" i="23"/>
  <c r="I27" i="23"/>
  <c r="AS26" i="23"/>
  <c r="AR26" i="23"/>
  <c r="S26" i="23"/>
  <c r="R26" i="23"/>
  <c r="Q26" i="23"/>
  <c r="P26" i="23"/>
  <c r="O26" i="23"/>
  <c r="N26" i="23"/>
  <c r="M26" i="23"/>
  <c r="L26" i="23"/>
  <c r="K26" i="23"/>
  <c r="J26" i="23"/>
  <c r="I26" i="23"/>
  <c r="AS25" i="23"/>
  <c r="AR25" i="23"/>
  <c r="S25" i="23"/>
  <c r="R25" i="23"/>
  <c r="Q25" i="23"/>
  <c r="P25" i="23"/>
  <c r="O25" i="23"/>
  <c r="N25" i="23"/>
  <c r="M25" i="23"/>
  <c r="L25" i="23"/>
  <c r="K25" i="23"/>
  <c r="J25" i="23"/>
  <c r="I25" i="23"/>
  <c r="AS24" i="23"/>
  <c r="AR24" i="23"/>
  <c r="AP24" i="23"/>
  <c r="U24" i="23" s="1"/>
  <c r="AO24" i="23"/>
  <c r="T24" i="23" s="1"/>
  <c r="S24" i="23"/>
  <c r="R24" i="23"/>
  <c r="Q24" i="23"/>
  <c r="P24" i="23"/>
  <c r="O24" i="23"/>
  <c r="N24" i="23"/>
  <c r="M24" i="23"/>
  <c r="L24" i="23"/>
  <c r="K24" i="23"/>
  <c r="J24" i="23"/>
  <c r="I24" i="23"/>
  <c r="AS23" i="23"/>
  <c r="AR23" i="23"/>
  <c r="S23" i="23"/>
  <c r="R23" i="23"/>
  <c r="Q23" i="23"/>
  <c r="P23" i="23"/>
  <c r="O23" i="23"/>
  <c r="N23" i="23"/>
  <c r="M23" i="23"/>
  <c r="L23" i="23"/>
  <c r="K23" i="23"/>
  <c r="J23" i="23"/>
  <c r="I23" i="23"/>
  <c r="AS22" i="23"/>
  <c r="AR22" i="23"/>
  <c r="S22" i="23"/>
  <c r="R22" i="23"/>
  <c r="Q22" i="23"/>
  <c r="P22" i="23"/>
  <c r="O22" i="23"/>
  <c r="N22" i="23"/>
  <c r="M22" i="23"/>
  <c r="L22" i="23"/>
  <c r="K22" i="23"/>
  <c r="J22" i="23"/>
  <c r="I22" i="23"/>
  <c r="AS21" i="23"/>
  <c r="AR21" i="23"/>
  <c r="AP21" i="23"/>
  <c r="U21" i="23" s="1"/>
  <c r="AO21" i="23"/>
  <c r="T21" i="23" s="1"/>
  <c r="S21" i="23"/>
  <c r="R21" i="23"/>
  <c r="Q21" i="23"/>
  <c r="P21" i="23"/>
  <c r="O21" i="23"/>
  <c r="N21" i="23"/>
  <c r="M21" i="23"/>
  <c r="L21" i="23"/>
  <c r="K21" i="23"/>
  <c r="J21" i="23"/>
  <c r="I21" i="23"/>
  <c r="AS20" i="23"/>
  <c r="AR20" i="23"/>
  <c r="AS19" i="23"/>
  <c r="AR19" i="23"/>
  <c r="S19" i="23"/>
  <c r="R19" i="23"/>
  <c r="Q19" i="23"/>
  <c r="P19" i="23"/>
  <c r="O19" i="23"/>
  <c r="N19" i="23"/>
  <c r="M19" i="23"/>
  <c r="L19" i="23"/>
  <c r="K19" i="23"/>
  <c r="J19" i="23"/>
  <c r="I19" i="23"/>
  <c r="AS18" i="23"/>
  <c r="AR18" i="23"/>
  <c r="S18" i="23"/>
  <c r="R18" i="23"/>
  <c r="Q18" i="23"/>
  <c r="P18" i="23"/>
  <c r="O18" i="23"/>
  <c r="N18" i="23"/>
  <c r="M18" i="23"/>
  <c r="L18" i="23"/>
  <c r="K18" i="23"/>
  <c r="J18" i="23"/>
  <c r="I18" i="23"/>
  <c r="AS17" i="23"/>
  <c r="AR17" i="23"/>
  <c r="S17" i="23"/>
  <c r="R17" i="23"/>
  <c r="Q17" i="23"/>
  <c r="P17" i="23"/>
  <c r="O17" i="23"/>
  <c r="N17" i="23"/>
  <c r="M17" i="23"/>
  <c r="L17" i="23"/>
  <c r="K17" i="23"/>
  <c r="J17" i="23"/>
  <c r="I17" i="23"/>
  <c r="AS16" i="23"/>
  <c r="AR16" i="23"/>
  <c r="S16" i="23"/>
  <c r="R16" i="23"/>
  <c r="Q16" i="23"/>
  <c r="O16" i="23"/>
  <c r="N16" i="23"/>
  <c r="M16" i="23"/>
  <c r="L16" i="23"/>
  <c r="K16" i="23"/>
  <c r="J16" i="23"/>
  <c r="I16" i="23"/>
  <c r="AS15" i="23"/>
  <c r="AR15" i="23"/>
  <c r="AP15" i="23"/>
  <c r="U15" i="23" s="1"/>
  <c r="AO15" i="23"/>
  <c r="T15" i="23" s="1"/>
  <c r="R15" i="23"/>
  <c r="Q15" i="23"/>
  <c r="P15" i="23"/>
  <c r="O15" i="23"/>
  <c r="N15" i="23"/>
  <c r="M15" i="23"/>
  <c r="L15" i="23"/>
  <c r="K15" i="23"/>
  <c r="J15" i="23"/>
  <c r="I15" i="23"/>
  <c r="AS14" i="23"/>
  <c r="AR14" i="23"/>
  <c r="AP14" i="23"/>
  <c r="U14" i="23" s="1"/>
  <c r="AO14" i="23"/>
  <c r="T14" i="23" s="1"/>
  <c r="S14" i="23"/>
  <c r="R14" i="23"/>
  <c r="Q14" i="23"/>
  <c r="P14" i="23"/>
  <c r="O14" i="23"/>
  <c r="N14" i="23"/>
  <c r="M14" i="23"/>
  <c r="L14" i="23"/>
  <c r="K14" i="23"/>
  <c r="J14" i="23"/>
  <c r="I14" i="23"/>
  <c r="AS13" i="23"/>
  <c r="AR13" i="23"/>
  <c r="S13" i="23"/>
  <c r="R13" i="23"/>
  <c r="Q13" i="23"/>
  <c r="P13" i="23"/>
  <c r="O13" i="23"/>
  <c r="N13" i="23"/>
  <c r="M13" i="23"/>
  <c r="L13" i="23"/>
  <c r="K13" i="23"/>
  <c r="J13" i="23"/>
  <c r="I13" i="23"/>
  <c r="AS12" i="23"/>
  <c r="AR12" i="23"/>
  <c r="S12" i="23"/>
  <c r="R12" i="23"/>
  <c r="Q12" i="23"/>
  <c r="P12" i="23"/>
  <c r="O12" i="23"/>
  <c r="N12" i="23"/>
  <c r="M12" i="23"/>
  <c r="L12" i="23"/>
  <c r="K12" i="23"/>
  <c r="J12" i="23"/>
  <c r="I12" i="23"/>
  <c r="AS11" i="23"/>
  <c r="AR11" i="23"/>
  <c r="S11" i="23"/>
  <c r="R11" i="23"/>
  <c r="Q11" i="23"/>
  <c r="P11" i="23"/>
  <c r="O11" i="23"/>
  <c r="N11" i="23"/>
  <c r="M11" i="23"/>
  <c r="L11" i="23"/>
  <c r="K11" i="23"/>
  <c r="J11" i="23"/>
  <c r="I11" i="23"/>
  <c r="AS10" i="23"/>
  <c r="AR10" i="23"/>
  <c r="S10" i="23"/>
  <c r="R10" i="23"/>
  <c r="Q10" i="23"/>
  <c r="P10" i="23"/>
  <c r="O10" i="23"/>
  <c r="N10" i="23"/>
  <c r="M10" i="23"/>
  <c r="L10" i="23"/>
  <c r="K10" i="23"/>
  <c r="J10" i="23"/>
  <c r="I10" i="23"/>
  <c r="AS9" i="23"/>
  <c r="AR9" i="23"/>
  <c r="S9" i="23"/>
  <c r="R9" i="23"/>
  <c r="Q9" i="23"/>
  <c r="P9" i="23"/>
  <c r="O9" i="23"/>
  <c r="N9" i="23"/>
  <c r="M9" i="23"/>
  <c r="L9" i="23"/>
  <c r="K9" i="23"/>
  <c r="J9" i="23"/>
  <c r="I9" i="23"/>
  <c r="AS8" i="23"/>
  <c r="AR8" i="23"/>
  <c r="S8" i="23"/>
  <c r="R8" i="23"/>
  <c r="Q8" i="23"/>
  <c r="P8" i="23"/>
  <c r="O8" i="23"/>
  <c r="N8" i="23"/>
  <c r="M8" i="23"/>
  <c r="L8" i="23"/>
  <c r="K8" i="23"/>
  <c r="J8" i="23"/>
  <c r="I8" i="23"/>
  <c r="AS7" i="23"/>
  <c r="AP7" i="23"/>
  <c r="U7" i="23" s="1"/>
  <c r="T7" i="23"/>
  <c r="S7" i="23"/>
  <c r="R7" i="23"/>
  <c r="Q7" i="23"/>
  <c r="P7" i="23"/>
  <c r="O7" i="23"/>
  <c r="N7" i="23"/>
  <c r="M7" i="23"/>
  <c r="L7" i="23"/>
  <c r="K7" i="23"/>
  <c r="J7" i="23"/>
  <c r="I7" i="23"/>
  <c r="S5" i="23"/>
  <c r="R5" i="23"/>
  <c r="Q5" i="23"/>
  <c r="P5" i="23"/>
  <c r="O5" i="23"/>
  <c r="N5" i="23"/>
  <c r="M5" i="23"/>
  <c r="L5" i="23"/>
  <c r="K5" i="23"/>
  <c r="J5" i="23"/>
  <c r="I5" i="23"/>
  <c r="AD39" i="22"/>
  <c r="AC39" i="22"/>
  <c r="AB39" i="22"/>
  <c r="AA39" i="22"/>
  <c r="Z39" i="22"/>
  <c r="Y39" i="22"/>
  <c r="X39" i="22"/>
  <c r="W39" i="22"/>
  <c r="V39" i="22"/>
  <c r="U39" i="22"/>
  <c r="T39" i="22"/>
  <c r="AD38" i="22"/>
  <c r="AC38" i="22"/>
  <c r="AB38" i="22"/>
  <c r="AA38" i="22"/>
  <c r="Z38" i="22"/>
  <c r="Y38" i="22"/>
  <c r="X38" i="22"/>
  <c r="W38" i="22"/>
  <c r="V38" i="22"/>
  <c r="U38" i="22"/>
  <c r="T38" i="22"/>
  <c r="AF25" i="22"/>
  <c r="P25" i="22" s="1"/>
  <c r="AE25" i="22"/>
  <c r="O25" i="22" s="1"/>
  <c r="N25" i="22"/>
  <c r="M25" i="22"/>
  <c r="L25" i="22"/>
  <c r="K25" i="22"/>
  <c r="J25" i="22"/>
  <c r="I25" i="22"/>
  <c r="H25" i="22"/>
  <c r="G25" i="22"/>
  <c r="F25" i="22"/>
  <c r="E25" i="22"/>
  <c r="D25" i="22"/>
  <c r="AF24" i="22"/>
  <c r="P24" i="22" s="1"/>
  <c r="AE24" i="22"/>
  <c r="O24" i="22" s="1"/>
  <c r="N24" i="22"/>
  <c r="M24" i="22"/>
  <c r="L24" i="22"/>
  <c r="K24" i="22"/>
  <c r="J24" i="22"/>
  <c r="I24" i="22"/>
  <c r="H24" i="22"/>
  <c r="G24" i="22"/>
  <c r="F24" i="22"/>
  <c r="E24" i="22"/>
  <c r="D24" i="22"/>
  <c r="AF23" i="22"/>
  <c r="P23" i="22" s="1"/>
  <c r="AE23" i="22"/>
  <c r="O23" i="22" s="1"/>
  <c r="N23" i="22"/>
  <c r="M23" i="22"/>
  <c r="L23" i="22"/>
  <c r="K23" i="22"/>
  <c r="J23" i="22"/>
  <c r="I23" i="22"/>
  <c r="H23" i="22"/>
  <c r="G23" i="22"/>
  <c r="F23" i="22"/>
  <c r="E23" i="22"/>
  <c r="D23" i="22"/>
  <c r="AD22" i="22"/>
  <c r="N22" i="22" s="1"/>
  <c r="AC22" i="22"/>
  <c r="M22" i="22" s="1"/>
  <c r="AB22" i="22"/>
  <c r="L22" i="22" s="1"/>
  <c r="AA22" i="22"/>
  <c r="K22" i="22" s="1"/>
  <c r="Z22" i="22"/>
  <c r="J22" i="22" s="1"/>
  <c r="Y22" i="22"/>
  <c r="I22" i="22" s="1"/>
  <c r="X22" i="22"/>
  <c r="H22" i="22" s="1"/>
  <c r="W22" i="22"/>
  <c r="G22" i="22" s="1"/>
  <c r="V22" i="22"/>
  <c r="F22" i="22" s="1"/>
  <c r="U22" i="22"/>
  <c r="E22" i="22" s="1"/>
  <c r="T22" i="22"/>
  <c r="D22" i="22" s="1"/>
  <c r="P22" i="22"/>
  <c r="O22" i="22"/>
  <c r="AF21" i="22"/>
  <c r="P21" i="22" s="1"/>
  <c r="AE21" i="22"/>
  <c r="O21" i="22" s="1"/>
  <c r="N21" i="22"/>
  <c r="M21" i="22"/>
  <c r="L21" i="22"/>
  <c r="K21" i="22"/>
  <c r="J21" i="22"/>
  <c r="I21" i="22"/>
  <c r="H21" i="22"/>
  <c r="G21" i="22"/>
  <c r="F21" i="22"/>
  <c r="E21" i="22"/>
  <c r="D21" i="22"/>
  <c r="AF20" i="22"/>
  <c r="P20" i="22" s="1"/>
  <c r="AE20" i="22"/>
  <c r="O20" i="22" s="1"/>
  <c r="N20" i="22"/>
  <c r="M20" i="22"/>
  <c r="L20" i="22"/>
  <c r="K20" i="22"/>
  <c r="J20" i="22"/>
  <c r="I20" i="22"/>
  <c r="H20" i="22"/>
  <c r="G20" i="22"/>
  <c r="F20" i="22"/>
  <c r="E20" i="22"/>
  <c r="D20" i="22"/>
  <c r="AF19" i="22"/>
  <c r="P19" i="22" s="1"/>
  <c r="AE19" i="22"/>
  <c r="O19" i="22" s="1"/>
  <c r="N19" i="22"/>
  <c r="M19" i="22"/>
  <c r="L19" i="22"/>
  <c r="K19" i="22"/>
  <c r="J19" i="22"/>
  <c r="I19" i="22"/>
  <c r="H19" i="22"/>
  <c r="G19" i="22"/>
  <c r="F19" i="22"/>
  <c r="E19" i="22"/>
  <c r="D19" i="22"/>
  <c r="AF18" i="22"/>
  <c r="P18" i="22" s="1"/>
  <c r="AE18" i="22"/>
  <c r="O18" i="22" s="1"/>
  <c r="N18" i="22"/>
  <c r="M18" i="22"/>
  <c r="L18" i="22"/>
  <c r="K18" i="22"/>
  <c r="J18" i="22"/>
  <c r="I18" i="22"/>
  <c r="H18" i="22"/>
  <c r="G18" i="22"/>
  <c r="F18" i="22"/>
  <c r="E18" i="22"/>
  <c r="D18" i="22"/>
  <c r="AF17" i="22"/>
  <c r="P17" i="22" s="1"/>
  <c r="AE17" i="22"/>
  <c r="O17" i="22" s="1"/>
  <c r="N17" i="22"/>
  <c r="M17" i="22"/>
  <c r="L17" i="22"/>
  <c r="K17" i="22"/>
  <c r="J17" i="22"/>
  <c r="I17" i="22"/>
  <c r="H17" i="22"/>
  <c r="G17" i="22"/>
  <c r="F17" i="22"/>
  <c r="E17" i="22"/>
  <c r="D17" i="22"/>
  <c r="AF16" i="22"/>
  <c r="P16" i="22" s="1"/>
  <c r="AE16" i="22"/>
  <c r="O16" i="22" s="1"/>
  <c r="N16" i="22"/>
  <c r="M16" i="22"/>
  <c r="L16" i="22"/>
  <c r="K16" i="22"/>
  <c r="J16" i="22"/>
  <c r="I16" i="22"/>
  <c r="H16" i="22"/>
  <c r="G16" i="22"/>
  <c r="F16" i="22"/>
  <c r="E16" i="22"/>
  <c r="D16" i="22"/>
  <c r="AF15" i="22"/>
  <c r="P15" i="22" s="1"/>
  <c r="AE15" i="22"/>
  <c r="O15" i="22" s="1"/>
  <c r="N15" i="22"/>
  <c r="M15" i="22"/>
  <c r="L15" i="22"/>
  <c r="K15" i="22"/>
  <c r="J15" i="22"/>
  <c r="I15" i="22"/>
  <c r="H15" i="22"/>
  <c r="G15" i="22"/>
  <c r="F15" i="22"/>
  <c r="E15" i="22"/>
  <c r="D15" i="22"/>
  <c r="AD14" i="22"/>
  <c r="N14" i="22" s="1"/>
  <c r="AC14" i="22"/>
  <c r="AC40" i="22" s="1"/>
  <c r="AB14" i="22"/>
  <c r="L14" i="22" s="1"/>
  <c r="AA14" i="22"/>
  <c r="AA40" i="22" s="1"/>
  <c r="Z14" i="22"/>
  <c r="Z40" i="22" s="1"/>
  <c r="Y14" i="22"/>
  <c r="Y40" i="22" s="1"/>
  <c r="X14" i="22"/>
  <c r="H14" i="22" s="1"/>
  <c r="W14" i="22"/>
  <c r="W40" i="22" s="1"/>
  <c r="V14" i="22"/>
  <c r="V40" i="22" s="1"/>
  <c r="U14" i="22"/>
  <c r="U40" i="22" s="1"/>
  <c r="T14" i="22"/>
  <c r="D14" i="22" s="1"/>
  <c r="P14" i="22"/>
  <c r="O14" i="22"/>
  <c r="AF13" i="22"/>
  <c r="P13" i="22" s="1"/>
  <c r="AE13" i="22"/>
  <c r="O13" i="22" s="1"/>
  <c r="N13" i="22"/>
  <c r="M13" i="22"/>
  <c r="L13" i="22"/>
  <c r="K13" i="22"/>
  <c r="J13" i="22"/>
  <c r="I13" i="22"/>
  <c r="H13" i="22"/>
  <c r="G13" i="22"/>
  <c r="F13" i="22"/>
  <c r="E13" i="22"/>
  <c r="D13" i="22"/>
  <c r="AD12" i="22"/>
  <c r="N12" i="22" s="1"/>
  <c r="AC12" i="22"/>
  <c r="M12" i="22" s="1"/>
  <c r="AB12" i="22"/>
  <c r="L12" i="22" s="1"/>
  <c r="AA12" i="22"/>
  <c r="K12" i="22" s="1"/>
  <c r="Z12" i="22"/>
  <c r="J12" i="22" s="1"/>
  <c r="Y12" i="22"/>
  <c r="I12" i="22" s="1"/>
  <c r="X12" i="22"/>
  <c r="H12" i="22" s="1"/>
  <c r="W12" i="22"/>
  <c r="G12" i="22" s="1"/>
  <c r="V12" i="22"/>
  <c r="F12" i="22" s="1"/>
  <c r="U12" i="22"/>
  <c r="E12" i="22" s="1"/>
  <c r="T12" i="22"/>
  <c r="D12" i="22" s="1"/>
  <c r="P12" i="22"/>
  <c r="O12" i="22"/>
  <c r="AF11" i="22"/>
  <c r="P11" i="22" s="1"/>
  <c r="AE11" i="22"/>
  <c r="O11" i="22" s="1"/>
  <c r="N11" i="22"/>
  <c r="M11" i="22"/>
  <c r="L11" i="22"/>
  <c r="K11" i="22"/>
  <c r="J11" i="22"/>
  <c r="I11" i="22"/>
  <c r="H11" i="22"/>
  <c r="G11" i="22"/>
  <c r="F11" i="22"/>
  <c r="E11" i="22"/>
  <c r="D11" i="22"/>
  <c r="AD10" i="22"/>
  <c r="N10" i="22" s="1"/>
  <c r="AC10" i="22"/>
  <c r="M10" i="22" s="1"/>
  <c r="AB10" i="22"/>
  <c r="L10" i="22" s="1"/>
  <c r="AA10" i="22"/>
  <c r="K10" i="22" s="1"/>
  <c r="Z10" i="22"/>
  <c r="J10" i="22" s="1"/>
  <c r="Y10" i="22"/>
  <c r="I10" i="22" s="1"/>
  <c r="X10" i="22"/>
  <c r="H10" i="22" s="1"/>
  <c r="W10" i="22"/>
  <c r="G10" i="22" s="1"/>
  <c r="V10" i="22"/>
  <c r="F10" i="22" s="1"/>
  <c r="U10" i="22"/>
  <c r="E10" i="22" s="1"/>
  <c r="T10" i="22"/>
  <c r="D10" i="22" s="1"/>
  <c r="P10" i="22"/>
  <c r="O10" i="22"/>
  <c r="AF9" i="22"/>
  <c r="P9" i="22" s="1"/>
  <c r="AE9" i="22"/>
  <c r="O9" i="22" s="1"/>
  <c r="N9" i="22"/>
  <c r="M9" i="22"/>
  <c r="L9" i="22"/>
  <c r="K9" i="22"/>
  <c r="J9" i="22"/>
  <c r="I9" i="22"/>
  <c r="H9" i="22"/>
  <c r="G9" i="22"/>
  <c r="F9" i="22"/>
  <c r="E9" i="22"/>
  <c r="D9" i="22"/>
  <c r="AF8" i="22"/>
  <c r="P8" i="22" s="1"/>
  <c r="AE8" i="22"/>
  <c r="O8" i="22" s="1"/>
  <c r="N8" i="22"/>
  <c r="M8" i="22"/>
  <c r="L8" i="22"/>
  <c r="K8" i="22"/>
  <c r="J8" i="22"/>
  <c r="I8" i="22"/>
  <c r="H8" i="22"/>
  <c r="G8" i="22"/>
  <c r="F8" i="22"/>
  <c r="E8" i="22"/>
  <c r="D8" i="22"/>
  <c r="AF7" i="22"/>
  <c r="P7" i="22" s="1"/>
  <c r="AE7" i="22"/>
  <c r="O7" i="22" s="1"/>
  <c r="N7" i="22"/>
  <c r="M7" i="22"/>
  <c r="L7" i="22"/>
  <c r="K7" i="22"/>
  <c r="J7" i="22"/>
  <c r="I7" i="22"/>
  <c r="H7" i="22"/>
  <c r="G7" i="22"/>
  <c r="F7" i="22"/>
  <c r="E7" i="22"/>
  <c r="D7" i="22"/>
  <c r="N5" i="22"/>
  <c r="M5" i="22"/>
  <c r="L5" i="22"/>
  <c r="K5" i="22"/>
  <c r="J5" i="22"/>
  <c r="I5" i="22"/>
  <c r="H5" i="22"/>
  <c r="G5" i="22"/>
  <c r="F5" i="22"/>
  <c r="E5" i="22"/>
  <c r="D5" i="22"/>
  <c r="AH63" i="21"/>
  <c r="Q42" i="21" s="1"/>
  <c r="AH62" i="21"/>
  <c r="Q41" i="21" s="1"/>
  <c r="AH61" i="21"/>
  <c r="Q40" i="21" s="1"/>
  <c r="AG42" i="21"/>
  <c r="AF42" i="21"/>
  <c r="AE42" i="21"/>
  <c r="AD42" i="21"/>
  <c r="AC42" i="21"/>
  <c r="AB42" i="21"/>
  <c r="AA42" i="21"/>
  <c r="Z42" i="21"/>
  <c r="Y42" i="21"/>
  <c r="X42" i="21"/>
  <c r="W42" i="21"/>
  <c r="P42" i="21"/>
  <c r="O42" i="21"/>
  <c r="N42" i="21"/>
  <c r="M42" i="21"/>
  <c r="L42" i="21"/>
  <c r="K42" i="21"/>
  <c r="J42" i="21"/>
  <c r="I42" i="21"/>
  <c r="H42" i="21"/>
  <c r="G42" i="21"/>
  <c r="F42" i="21"/>
  <c r="AG41" i="21"/>
  <c r="AF41" i="21"/>
  <c r="AE41" i="21"/>
  <c r="AD41" i="21"/>
  <c r="AC41" i="21"/>
  <c r="AB41" i="21"/>
  <c r="AA41" i="21"/>
  <c r="Z41" i="21"/>
  <c r="Y41" i="21"/>
  <c r="X41" i="21"/>
  <c r="W41" i="21"/>
  <c r="U41" i="21"/>
  <c r="P41" i="21"/>
  <c r="O41" i="21"/>
  <c r="N41" i="21"/>
  <c r="M41" i="21"/>
  <c r="L41" i="21"/>
  <c r="K41" i="21"/>
  <c r="J41" i="21"/>
  <c r="I41" i="21"/>
  <c r="H41" i="21"/>
  <c r="G41" i="21"/>
  <c r="F41" i="21"/>
  <c r="P40" i="21"/>
  <c r="O40" i="21"/>
  <c r="N40" i="21"/>
  <c r="M40" i="21"/>
  <c r="L40" i="21"/>
  <c r="K40" i="21"/>
  <c r="J40" i="21"/>
  <c r="I40" i="21"/>
  <c r="H40" i="21"/>
  <c r="G40" i="21"/>
  <c r="AG39" i="21"/>
  <c r="AF39" i="21"/>
  <c r="AE39" i="21"/>
  <c r="AD39" i="21"/>
  <c r="AC39" i="21"/>
  <c r="AB39" i="21"/>
  <c r="AA39" i="21"/>
  <c r="Z39" i="21"/>
  <c r="Y39" i="21"/>
  <c r="X39" i="21"/>
  <c r="W39" i="21"/>
  <c r="AG38" i="21"/>
  <c r="AF38" i="21"/>
  <c r="AE38" i="21"/>
  <c r="AD38" i="21"/>
  <c r="AC38" i="21"/>
  <c r="AB38" i="21"/>
  <c r="AA38" i="21"/>
  <c r="Z38" i="21"/>
  <c r="Y38" i="21"/>
  <c r="X38" i="21"/>
  <c r="W38" i="21"/>
  <c r="U38" i="21"/>
  <c r="AG37" i="21"/>
  <c r="AF37" i="21"/>
  <c r="AE37" i="21"/>
  <c r="AD37" i="21"/>
  <c r="AC37" i="21"/>
  <c r="AB37" i="21"/>
  <c r="AA37" i="21"/>
  <c r="Z37" i="21"/>
  <c r="Y37" i="21"/>
  <c r="X37" i="21"/>
  <c r="W37" i="21"/>
  <c r="R31" i="21"/>
  <c r="Q31" i="21"/>
  <c r="AG30" i="21"/>
  <c r="P30" i="21" s="1"/>
  <c r="AF30" i="21"/>
  <c r="O30" i="21" s="1"/>
  <c r="AE30" i="21"/>
  <c r="N30" i="21" s="1"/>
  <c r="AD30" i="21"/>
  <c r="M30" i="21" s="1"/>
  <c r="AC30" i="21"/>
  <c r="AB30" i="21"/>
  <c r="K30" i="21" s="1"/>
  <c r="AA30" i="21"/>
  <c r="J30" i="21" s="1"/>
  <c r="Z30" i="21"/>
  <c r="Y30" i="21"/>
  <c r="H30" i="21" s="1"/>
  <c r="X30" i="21"/>
  <c r="W30" i="21"/>
  <c r="AG29" i="21"/>
  <c r="AF29" i="21"/>
  <c r="O29" i="21" s="1"/>
  <c r="AE29" i="21"/>
  <c r="AD29" i="21"/>
  <c r="M29" i="21" s="1"/>
  <c r="AC29" i="21"/>
  <c r="L29" i="21" s="1"/>
  <c r="AB29" i="21"/>
  <c r="AA29" i="21"/>
  <c r="J29" i="21" s="1"/>
  <c r="Z29" i="21"/>
  <c r="I29" i="21" s="1"/>
  <c r="Y29" i="21"/>
  <c r="X29" i="21"/>
  <c r="G29" i="21" s="1"/>
  <c r="W29" i="21"/>
  <c r="AG28" i="21"/>
  <c r="P28" i="21" s="1"/>
  <c r="AF28" i="21"/>
  <c r="O28" i="21" s="1"/>
  <c r="AE28" i="21"/>
  <c r="N28" i="21" s="1"/>
  <c r="AD28" i="21"/>
  <c r="M28" i="21" s="1"/>
  <c r="AC28" i="21"/>
  <c r="L28" i="21" s="1"/>
  <c r="AB28" i="21"/>
  <c r="K28" i="21" s="1"/>
  <c r="AA28" i="21"/>
  <c r="J28" i="21" s="1"/>
  <c r="Z28" i="21"/>
  <c r="I28" i="21" s="1"/>
  <c r="Y28" i="21"/>
  <c r="H28" i="21" s="1"/>
  <c r="X28" i="21"/>
  <c r="G28" i="21" s="1"/>
  <c r="W28" i="21"/>
  <c r="F28" i="21" s="1"/>
  <c r="R28" i="21"/>
  <c r="Q28" i="21"/>
  <c r="AI27" i="21"/>
  <c r="R27" i="21" s="1"/>
  <c r="AH27" i="21"/>
  <c r="Q27" i="21" s="1"/>
  <c r="P27" i="21"/>
  <c r="O27" i="21"/>
  <c r="N27" i="21"/>
  <c r="M27" i="21"/>
  <c r="L27" i="21"/>
  <c r="K27" i="21"/>
  <c r="J27" i="21"/>
  <c r="I27" i="21"/>
  <c r="H27" i="21"/>
  <c r="G27" i="21"/>
  <c r="F27" i="21"/>
  <c r="AI26" i="21"/>
  <c r="R26" i="21" s="1"/>
  <c r="AH26" i="21"/>
  <c r="Q26" i="21" s="1"/>
  <c r="P26" i="21"/>
  <c r="O26" i="21"/>
  <c r="N26" i="21"/>
  <c r="M26" i="21"/>
  <c r="L26" i="21"/>
  <c r="K26" i="21"/>
  <c r="J26" i="21"/>
  <c r="I26" i="21"/>
  <c r="H26" i="21"/>
  <c r="G26" i="21"/>
  <c r="F26" i="21"/>
  <c r="AG25" i="21"/>
  <c r="P25" i="21" s="1"/>
  <c r="AF25" i="21"/>
  <c r="O25" i="21" s="1"/>
  <c r="AE25" i="21"/>
  <c r="N25" i="21" s="1"/>
  <c r="AD25" i="21"/>
  <c r="M25" i="21" s="1"/>
  <c r="AC25" i="21"/>
  <c r="L25" i="21" s="1"/>
  <c r="AB25" i="21"/>
  <c r="K25" i="21" s="1"/>
  <c r="AA25" i="21"/>
  <c r="J25" i="21" s="1"/>
  <c r="Z25" i="21"/>
  <c r="I25" i="21" s="1"/>
  <c r="Y25" i="21"/>
  <c r="H25" i="21" s="1"/>
  <c r="X25" i="21"/>
  <c r="G25" i="21" s="1"/>
  <c r="W25" i="21"/>
  <c r="F25" i="21" s="1"/>
  <c r="R25" i="21"/>
  <c r="Q25" i="21"/>
  <c r="AI24" i="21"/>
  <c r="R24" i="21" s="1"/>
  <c r="AH24" i="21"/>
  <c r="Q24" i="21" s="1"/>
  <c r="P24" i="21"/>
  <c r="O24" i="21"/>
  <c r="N24" i="21"/>
  <c r="M24" i="21"/>
  <c r="L24" i="21"/>
  <c r="K24" i="21"/>
  <c r="J24" i="21"/>
  <c r="I24" i="21"/>
  <c r="H24" i="21"/>
  <c r="G24" i="21"/>
  <c r="F24" i="21"/>
  <c r="AI23" i="21"/>
  <c r="R23" i="21" s="1"/>
  <c r="Q23" i="21"/>
  <c r="P23" i="21"/>
  <c r="O23" i="21"/>
  <c r="N23" i="21"/>
  <c r="M23" i="21"/>
  <c r="L23" i="21"/>
  <c r="K23" i="21"/>
  <c r="J23" i="21"/>
  <c r="I23" i="21"/>
  <c r="H23" i="21"/>
  <c r="G23" i="21"/>
  <c r="F23" i="21"/>
  <c r="AG22" i="21"/>
  <c r="P22" i="21" s="1"/>
  <c r="AF22" i="21"/>
  <c r="O22" i="21" s="1"/>
  <c r="AE22" i="21"/>
  <c r="N22" i="21" s="1"/>
  <c r="AD22" i="21"/>
  <c r="M22" i="21" s="1"/>
  <c r="AC22" i="21"/>
  <c r="L22" i="21" s="1"/>
  <c r="AB22" i="21"/>
  <c r="K22" i="21" s="1"/>
  <c r="AA22" i="21"/>
  <c r="J22" i="21" s="1"/>
  <c r="Z22" i="21"/>
  <c r="I22" i="21" s="1"/>
  <c r="Y22" i="21"/>
  <c r="H22" i="21" s="1"/>
  <c r="X22" i="21"/>
  <c r="G22" i="21" s="1"/>
  <c r="W22" i="21"/>
  <c r="F22" i="21" s="1"/>
  <c r="R22" i="21"/>
  <c r="Q22" i="21"/>
  <c r="R21" i="21"/>
  <c r="Q21" i="21"/>
  <c r="P21" i="21"/>
  <c r="O21" i="21"/>
  <c r="N21" i="21"/>
  <c r="M21" i="21"/>
  <c r="L21" i="21"/>
  <c r="K21" i="21"/>
  <c r="J21" i="21"/>
  <c r="I21" i="21"/>
  <c r="H21" i="21"/>
  <c r="G21" i="21"/>
  <c r="F21" i="21"/>
  <c r="R20" i="21"/>
  <c r="Q20" i="21"/>
  <c r="P20" i="21"/>
  <c r="O20" i="21"/>
  <c r="N20" i="21"/>
  <c r="M20" i="21"/>
  <c r="L20" i="21"/>
  <c r="K20" i="21"/>
  <c r="J20" i="21"/>
  <c r="I20" i="21"/>
  <c r="H20" i="21"/>
  <c r="G20" i="21"/>
  <c r="F20" i="21"/>
  <c r="R15" i="21"/>
  <c r="Q15" i="21"/>
  <c r="AG14" i="21"/>
  <c r="AF14" i="21"/>
  <c r="O14" i="21" s="1"/>
  <c r="AE14" i="21"/>
  <c r="AD14" i="21"/>
  <c r="M14" i="21" s="1"/>
  <c r="AC14" i="21"/>
  <c r="L14" i="21" s="1"/>
  <c r="AB14" i="21"/>
  <c r="K14" i="21" s="1"/>
  <c r="AA14" i="21"/>
  <c r="AA45" i="21" s="1"/>
  <c r="Z14" i="21"/>
  <c r="Z45" i="21" s="1"/>
  <c r="Y14" i="21"/>
  <c r="Y45" i="21" s="1"/>
  <c r="X14" i="21"/>
  <c r="W14" i="21"/>
  <c r="AG13" i="21"/>
  <c r="AF13" i="21"/>
  <c r="AE13" i="21"/>
  <c r="AE44" i="21" s="1"/>
  <c r="AD13" i="21"/>
  <c r="M13" i="21" s="1"/>
  <c r="AC13" i="21"/>
  <c r="AC44" i="21" s="1"/>
  <c r="AB13" i="21"/>
  <c r="AB44" i="21" s="1"/>
  <c r="AA13" i="21"/>
  <c r="J13" i="21" s="1"/>
  <c r="Z13" i="21"/>
  <c r="Z44" i="21" s="1"/>
  <c r="Y13" i="21"/>
  <c r="Y44" i="21" s="1"/>
  <c r="X13" i="21"/>
  <c r="X44" i="21" s="1"/>
  <c r="W13" i="21"/>
  <c r="W44" i="21" s="1"/>
  <c r="AG12" i="21"/>
  <c r="P12" i="21" s="1"/>
  <c r="AF12" i="21"/>
  <c r="O12" i="21" s="1"/>
  <c r="AE12" i="21"/>
  <c r="N12" i="21" s="1"/>
  <c r="AD12" i="21"/>
  <c r="M12" i="21" s="1"/>
  <c r="AC12" i="21"/>
  <c r="L12" i="21" s="1"/>
  <c r="AB12" i="21"/>
  <c r="K12" i="21" s="1"/>
  <c r="AA12" i="21"/>
  <c r="J12" i="21" s="1"/>
  <c r="Z12" i="21"/>
  <c r="I12" i="21" s="1"/>
  <c r="Y12" i="21"/>
  <c r="H12" i="21" s="1"/>
  <c r="X12" i="21"/>
  <c r="G12" i="21" s="1"/>
  <c r="W12" i="21"/>
  <c r="F12" i="21" s="1"/>
  <c r="R12" i="21"/>
  <c r="Q12" i="21"/>
  <c r="AH11" i="21"/>
  <c r="Q11" i="21" s="1"/>
  <c r="P11" i="21"/>
  <c r="O11" i="21"/>
  <c r="N11" i="21"/>
  <c r="M11" i="21"/>
  <c r="L11" i="21"/>
  <c r="K11" i="21"/>
  <c r="J11" i="21"/>
  <c r="I11" i="21"/>
  <c r="H11" i="21"/>
  <c r="G11" i="21"/>
  <c r="F11" i="21"/>
  <c r="R10" i="21"/>
  <c r="Q10" i="21"/>
  <c r="P10" i="21"/>
  <c r="O10" i="21"/>
  <c r="N10" i="21"/>
  <c r="M10" i="21"/>
  <c r="L10" i="21"/>
  <c r="K10" i="21"/>
  <c r="J10" i="21"/>
  <c r="I10" i="21"/>
  <c r="H10" i="21"/>
  <c r="G10" i="21"/>
  <c r="F10" i="21"/>
  <c r="AG9" i="21"/>
  <c r="P9" i="21" s="1"/>
  <c r="AF9" i="21"/>
  <c r="O9" i="21" s="1"/>
  <c r="AE9" i="21"/>
  <c r="N9" i="21" s="1"/>
  <c r="AD9" i="21"/>
  <c r="AC9" i="21"/>
  <c r="L9" i="21" s="1"/>
  <c r="AB9" i="21"/>
  <c r="K9" i="21" s="1"/>
  <c r="AA9" i="21"/>
  <c r="J9" i="21" s="1"/>
  <c r="Z9" i="21"/>
  <c r="I9" i="21" s="1"/>
  <c r="Y9" i="21"/>
  <c r="H9" i="21" s="1"/>
  <c r="X9" i="21"/>
  <c r="G9" i="21" s="1"/>
  <c r="W9" i="21"/>
  <c r="F9" i="21" s="1"/>
  <c r="R9" i="21"/>
  <c r="Q9" i="21"/>
  <c r="R8" i="21"/>
  <c r="AH8" i="21"/>
  <c r="Q8" i="21" s="1"/>
  <c r="P8" i="21"/>
  <c r="O8" i="21"/>
  <c r="N8" i="21"/>
  <c r="M8" i="21"/>
  <c r="L8" i="21"/>
  <c r="K8" i="21"/>
  <c r="J8" i="21"/>
  <c r="I8" i="21"/>
  <c r="H8" i="21"/>
  <c r="G8" i="21"/>
  <c r="F8" i="21"/>
  <c r="R7" i="21"/>
  <c r="AH7" i="21"/>
  <c r="Q7" i="21" s="1"/>
  <c r="P7" i="21"/>
  <c r="O7" i="21"/>
  <c r="N7" i="21"/>
  <c r="M7" i="21"/>
  <c r="L7" i="21"/>
  <c r="K7" i="21"/>
  <c r="J7" i="21"/>
  <c r="I7" i="21"/>
  <c r="H7" i="21"/>
  <c r="G7" i="21"/>
  <c r="F7" i="21"/>
  <c r="P5" i="21"/>
  <c r="O5" i="21"/>
  <c r="N5" i="21"/>
  <c r="M5" i="21"/>
  <c r="L5" i="21"/>
  <c r="K5" i="21"/>
  <c r="J5" i="21"/>
  <c r="I5" i="21"/>
  <c r="H5" i="21"/>
  <c r="G5" i="21"/>
  <c r="F5" i="21"/>
  <c r="AG37" i="20"/>
  <c r="AF37" i="20"/>
  <c r="AE37" i="20"/>
  <c r="AD37" i="20"/>
  <c r="AC37" i="20"/>
  <c r="L33" i="20" s="1"/>
  <c r="AB37" i="20"/>
  <c r="K33" i="20" s="1"/>
  <c r="AA37" i="20"/>
  <c r="J33" i="20" s="1"/>
  <c r="Z37" i="20"/>
  <c r="I33" i="20" s="1"/>
  <c r="Y37" i="20"/>
  <c r="H33" i="20" s="1"/>
  <c r="X37" i="20"/>
  <c r="G33" i="20" s="1"/>
  <c r="W37" i="20"/>
  <c r="F33" i="20" s="1"/>
  <c r="AI36" i="20"/>
  <c r="R32" i="20" s="1"/>
  <c r="AH36" i="20"/>
  <c r="Q32" i="20" s="1"/>
  <c r="AI35" i="20"/>
  <c r="R31" i="20" s="1"/>
  <c r="AH35" i="20"/>
  <c r="Q31" i="20" s="1"/>
  <c r="AG33" i="20"/>
  <c r="P29" i="20" s="1"/>
  <c r="AF33" i="20"/>
  <c r="O29" i="20" s="1"/>
  <c r="AE33" i="20"/>
  <c r="N29" i="20" s="1"/>
  <c r="AD33" i="20"/>
  <c r="M29" i="20" s="1"/>
  <c r="AC33" i="20"/>
  <c r="L29" i="20" s="1"/>
  <c r="AB33" i="20"/>
  <c r="K29" i="20" s="1"/>
  <c r="AA33" i="20"/>
  <c r="J29" i="20" s="1"/>
  <c r="Z33" i="20"/>
  <c r="I29" i="20" s="1"/>
  <c r="Y33" i="20"/>
  <c r="H29" i="20" s="1"/>
  <c r="X33" i="20"/>
  <c r="G29" i="20" s="1"/>
  <c r="W33" i="20"/>
  <c r="F29" i="20" s="1"/>
  <c r="P32" i="20"/>
  <c r="O32" i="20"/>
  <c r="N32" i="20"/>
  <c r="M32" i="20"/>
  <c r="L32" i="20"/>
  <c r="K32" i="20"/>
  <c r="J32" i="20"/>
  <c r="I32" i="20"/>
  <c r="H32" i="20"/>
  <c r="G32" i="20"/>
  <c r="F32" i="20"/>
  <c r="P31" i="20"/>
  <c r="O31" i="20"/>
  <c r="N31" i="20"/>
  <c r="M31" i="20"/>
  <c r="L31" i="20"/>
  <c r="K31" i="20"/>
  <c r="J31" i="20"/>
  <c r="I31" i="20"/>
  <c r="H31" i="20"/>
  <c r="G31" i="20"/>
  <c r="F31" i="20"/>
  <c r="AG29" i="20"/>
  <c r="AF29" i="20"/>
  <c r="AE29" i="20"/>
  <c r="AD29" i="20"/>
  <c r="AC29" i="20"/>
  <c r="AB29" i="20"/>
  <c r="AA29" i="20"/>
  <c r="Z29" i="20"/>
  <c r="Y29" i="20"/>
  <c r="X29" i="20"/>
  <c r="W29" i="20"/>
  <c r="AG28" i="20"/>
  <c r="AF28" i="20"/>
  <c r="AE28" i="20"/>
  <c r="AD28" i="20"/>
  <c r="AC28" i="20"/>
  <c r="AB28" i="20"/>
  <c r="AA28" i="20"/>
  <c r="Z28" i="20"/>
  <c r="Y28" i="20"/>
  <c r="X28" i="20"/>
  <c r="W28" i="20"/>
  <c r="AG26" i="20"/>
  <c r="AF26" i="20"/>
  <c r="AE26" i="20"/>
  <c r="AD26" i="20"/>
  <c r="AC26" i="20"/>
  <c r="AB26" i="20"/>
  <c r="AA26" i="20"/>
  <c r="Z26" i="20"/>
  <c r="Y26" i="20"/>
  <c r="X26" i="20"/>
  <c r="W26" i="20"/>
  <c r="AG25" i="20"/>
  <c r="AF25" i="20"/>
  <c r="AE25" i="20"/>
  <c r="AD25" i="20"/>
  <c r="AC25" i="20"/>
  <c r="AB25" i="20"/>
  <c r="AA25" i="20"/>
  <c r="Z25" i="20"/>
  <c r="Y25" i="20"/>
  <c r="X25" i="20"/>
  <c r="W25" i="20"/>
  <c r="AG23" i="20"/>
  <c r="AF23" i="20"/>
  <c r="AE23" i="20"/>
  <c r="AD23" i="20"/>
  <c r="AC23" i="20"/>
  <c r="AB23" i="20"/>
  <c r="AA23" i="20"/>
  <c r="Z23" i="20"/>
  <c r="Y23" i="20"/>
  <c r="X23" i="20"/>
  <c r="W23" i="20"/>
  <c r="AG22" i="20"/>
  <c r="AF22" i="20"/>
  <c r="AE22" i="20"/>
  <c r="AD22" i="20"/>
  <c r="AC22" i="20"/>
  <c r="AB22" i="20"/>
  <c r="AA22" i="20"/>
  <c r="Z22" i="20"/>
  <c r="Y22" i="20"/>
  <c r="X22" i="20"/>
  <c r="W22" i="20"/>
  <c r="AI20" i="20"/>
  <c r="AG20" i="20"/>
  <c r="AF20" i="20"/>
  <c r="AE20" i="20"/>
  <c r="AD20" i="20"/>
  <c r="AC20" i="20"/>
  <c r="AB20" i="20"/>
  <c r="AA20" i="20"/>
  <c r="Z20" i="20"/>
  <c r="Y20" i="20"/>
  <c r="X20" i="20"/>
  <c r="W20" i="20"/>
  <c r="AG15" i="20"/>
  <c r="P15" i="20" s="1"/>
  <c r="AF15" i="20"/>
  <c r="AE15" i="20"/>
  <c r="N15" i="20" s="1"/>
  <c r="AD15" i="20"/>
  <c r="M15" i="20" s="1"/>
  <c r="AC15" i="20"/>
  <c r="L15" i="20" s="1"/>
  <c r="AB15" i="20"/>
  <c r="K15" i="20" s="1"/>
  <c r="AA15" i="20"/>
  <c r="J15" i="20" s="1"/>
  <c r="Z15" i="20"/>
  <c r="I15" i="20" s="1"/>
  <c r="Y15" i="20"/>
  <c r="H15" i="20" s="1"/>
  <c r="X15" i="20"/>
  <c r="G15" i="20" s="1"/>
  <c r="W15" i="20"/>
  <c r="F15" i="20" s="1"/>
  <c r="R15" i="20"/>
  <c r="Q15" i="20"/>
  <c r="AI14" i="20"/>
  <c r="R14" i="20" s="1"/>
  <c r="AH14" i="20"/>
  <c r="Q14" i="20" s="1"/>
  <c r="P14" i="20"/>
  <c r="O14" i="20"/>
  <c r="N14" i="20"/>
  <c r="M14" i="20"/>
  <c r="L14" i="20"/>
  <c r="K14" i="20"/>
  <c r="J14" i="20"/>
  <c r="I14" i="20"/>
  <c r="H14" i="20"/>
  <c r="G14" i="20"/>
  <c r="F14" i="20"/>
  <c r="AI13" i="20"/>
  <c r="R13" i="20" s="1"/>
  <c r="AH13" i="20"/>
  <c r="Q13" i="20" s="1"/>
  <c r="P13" i="20"/>
  <c r="O13" i="20"/>
  <c r="N13" i="20"/>
  <c r="M13" i="20"/>
  <c r="L13" i="20"/>
  <c r="K13" i="20"/>
  <c r="J13" i="20"/>
  <c r="I13" i="20"/>
  <c r="H13" i="20"/>
  <c r="G13" i="20"/>
  <c r="F13" i="20"/>
  <c r="AG12" i="20"/>
  <c r="P12" i="20" s="1"/>
  <c r="AF12" i="20"/>
  <c r="O12" i="20" s="1"/>
  <c r="AE12" i="20"/>
  <c r="N12" i="20" s="1"/>
  <c r="AD12" i="20"/>
  <c r="M12" i="20" s="1"/>
  <c r="AC12" i="20"/>
  <c r="L12" i="20" s="1"/>
  <c r="AB12" i="20"/>
  <c r="K12" i="20" s="1"/>
  <c r="AA12" i="20"/>
  <c r="J12" i="20" s="1"/>
  <c r="Z12" i="20"/>
  <c r="I12" i="20" s="1"/>
  <c r="Y12" i="20"/>
  <c r="H12" i="20" s="1"/>
  <c r="X12" i="20"/>
  <c r="G12" i="20" s="1"/>
  <c r="W12" i="20"/>
  <c r="F12" i="20" s="1"/>
  <c r="R12" i="20"/>
  <c r="Q12" i="20"/>
  <c r="AI11" i="20"/>
  <c r="R11" i="20" s="1"/>
  <c r="AH11" i="20"/>
  <c r="Q11" i="20" s="1"/>
  <c r="P11" i="20"/>
  <c r="O11" i="20"/>
  <c r="N11" i="20"/>
  <c r="M11" i="20"/>
  <c r="L11" i="20"/>
  <c r="K11" i="20"/>
  <c r="J11" i="20"/>
  <c r="I11" i="20"/>
  <c r="H11" i="20"/>
  <c r="G11" i="20"/>
  <c r="F11" i="20"/>
  <c r="AI10" i="20"/>
  <c r="R10" i="20" s="1"/>
  <c r="AH10" i="20"/>
  <c r="Q10" i="20" s="1"/>
  <c r="P10" i="20"/>
  <c r="O10" i="20"/>
  <c r="N10" i="20"/>
  <c r="M10" i="20"/>
  <c r="L10" i="20"/>
  <c r="K10" i="20"/>
  <c r="J10" i="20"/>
  <c r="I10" i="20"/>
  <c r="H10" i="20"/>
  <c r="G10" i="20"/>
  <c r="F10" i="20"/>
  <c r="AG9" i="20"/>
  <c r="P9" i="20" s="1"/>
  <c r="AF9" i="20"/>
  <c r="O9" i="20" s="1"/>
  <c r="AE9" i="20"/>
  <c r="N9" i="20" s="1"/>
  <c r="AD9" i="20"/>
  <c r="M9" i="20" s="1"/>
  <c r="AC9" i="20"/>
  <c r="L9" i="20" s="1"/>
  <c r="AB9" i="20"/>
  <c r="K9" i="20" s="1"/>
  <c r="AA9" i="20"/>
  <c r="J9" i="20" s="1"/>
  <c r="Z9" i="20"/>
  <c r="I9" i="20" s="1"/>
  <c r="Y9" i="20"/>
  <c r="H9" i="20" s="1"/>
  <c r="X9" i="20"/>
  <c r="G9" i="20" s="1"/>
  <c r="W9" i="20"/>
  <c r="F9" i="20" s="1"/>
  <c r="R9" i="20"/>
  <c r="Q9" i="20"/>
  <c r="AI8" i="20"/>
  <c r="R8" i="20" s="1"/>
  <c r="AH8" i="20"/>
  <c r="Q8" i="20" s="1"/>
  <c r="P8" i="20"/>
  <c r="O8" i="20"/>
  <c r="N8" i="20"/>
  <c r="M8" i="20"/>
  <c r="L8" i="20"/>
  <c r="K8" i="20"/>
  <c r="J8" i="20"/>
  <c r="I8" i="20"/>
  <c r="H8" i="20"/>
  <c r="G8" i="20"/>
  <c r="F8" i="20"/>
  <c r="AI7" i="20"/>
  <c r="R7" i="20" s="1"/>
  <c r="AH7" i="20"/>
  <c r="Q7" i="20" s="1"/>
  <c r="P7" i="20"/>
  <c r="O7" i="20"/>
  <c r="N7" i="20"/>
  <c r="M7" i="20"/>
  <c r="L7" i="20"/>
  <c r="K7" i="20"/>
  <c r="J7" i="20"/>
  <c r="I7" i="20"/>
  <c r="H7" i="20"/>
  <c r="G7" i="20"/>
  <c r="F7" i="20"/>
  <c r="P5" i="20"/>
  <c r="O5" i="20"/>
  <c r="N5" i="20"/>
  <c r="M5" i="20"/>
  <c r="L5" i="20"/>
  <c r="K5" i="20"/>
  <c r="J5" i="20"/>
  <c r="I5" i="20"/>
  <c r="H5" i="20"/>
  <c r="G5" i="20"/>
  <c r="F5" i="20"/>
  <c r="AG20" i="19"/>
  <c r="AF20" i="19"/>
  <c r="AE20" i="19"/>
  <c r="AD20" i="19"/>
  <c r="AC20" i="19"/>
  <c r="AB20" i="19"/>
  <c r="AA20" i="19"/>
  <c r="Z20" i="19"/>
  <c r="Y20" i="19"/>
  <c r="X20" i="19"/>
  <c r="W20" i="19"/>
  <c r="AG19" i="19"/>
  <c r="AF19" i="19"/>
  <c r="AE19" i="19"/>
  <c r="AD19" i="19"/>
  <c r="AC19" i="19"/>
  <c r="AB19" i="19"/>
  <c r="AA19" i="19"/>
  <c r="Z19" i="19"/>
  <c r="Y19" i="19"/>
  <c r="X19" i="19"/>
  <c r="AG18" i="19"/>
  <c r="AF18" i="19"/>
  <c r="AE18" i="19"/>
  <c r="AD18" i="19"/>
  <c r="AC18" i="19"/>
  <c r="AB18" i="19"/>
  <c r="AA18" i="19"/>
  <c r="Z18" i="19"/>
  <c r="Y18" i="19"/>
  <c r="X18" i="19"/>
  <c r="W18" i="19"/>
  <c r="R15" i="19"/>
  <c r="Q15" i="19"/>
  <c r="P15" i="19"/>
  <c r="AG14" i="19"/>
  <c r="O14" i="19" s="1"/>
  <c r="AF14" i="19"/>
  <c r="N14" i="19" s="1"/>
  <c r="AE14" i="19"/>
  <c r="M14" i="19" s="1"/>
  <c r="AD14" i="19"/>
  <c r="L14" i="19" s="1"/>
  <c r="AC14" i="19"/>
  <c r="K14" i="19" s="1"/>
  <c r="AB14" i="19"/>
  <c r="J14" i="19" s="1"/>
  <c r="AA14" i="19"/>
  <c r="I14" i="19" s="1"/>
  <c r="Z14" i="19"/>
  <c r="H14" i="19" s="1"/>
  <c r="Y14" i="19"/>
  <c r="G14" i="19" s="1"/>
  <c r="X14" i="19"/>
  <c r="F14" i="19" s="1"/>
  <c r="W14" i="19"/>
  <c r="E14" i="19" s="1"/>
  <c r="R14" i="19"/>
  <c r="Q14" i="19"/>
  <c r="P14" i="19"/>
  <c r="AG13" i="19"/>
  <c r="O13" i="19" s="1"/>
  <c r="AF13" i="19"/>
  <c r="N13" i="19" s="1"/>
  <c r="AE13" i="19"/>
  <c r="M13" i="19" s="1"/>
  <c r="AD13" i="19"/>
  <c r="L13" i="19" s="1"/>
  <c r="AC13" i="19"/>
  <c r="K13" i="19" s="1"/>
  <c r="AB13" i="19"/>
  <c r="J13" i="19" s="1"/>
  <c r="AA13" i="19"/>
  <c r="I13" i="19" s="1"/>
  <c r="Z13" i="19"/>
  <c r="H13" i="19" s="1"/>
  <c r="Y13" i="19"/>
  <c r="G13" i="19" s="1"/>
  <c r="X13" i="19"/>
  <c r="F13" i="19" s="1"/>
  <c r="W13" i="19"/>
  <c r="E13" i="19" s="1"/>
  <c r="R13" i="19"/>
  <c r="Q13" i="19"/>
  <c r="P13" i="19"/>
  <c r="AG12" i="19"/>
  <c r="AF12" i="19"/>
  <c r="N12" i="19" s="1"/>
  <c r="AE12" i="19"/>
  <c r="M12" i="19" s="1"/>
  <c r="AD12" i="19"/>
  <c r="L12" i="19" s="1"/>
  <c r="AC12" i="19"/>
  <c r="K12" i="19" s="1"/>
  <c r="AB12" i="19"/>
  <c r="J12" i="19" s="1"/>
  <c r="AA12" i="19"/>
  <c r="Z12" i="19"/>
  <c r="H12" i="19" s="1"/>
  <c r="Y12" i="19"/>
  <c r="G12" i="19" s="1"/>
  <c r="X12" i="19"/>
  <c r="F12" i="19" s="1"/>
  <c r="W12" i="19"/>
  <c r="E12" i="19" s="1"/>
  <c r="R12" i="19"/>
  <c r="AI11" i="19"/>
  <c r="Q11" i="19" s="1"/>
  <c r="AH11" i="19"/>
  <c r="P11" i="19" s="1"/>
  <c r="R11" i="19"/>
  <c r="O11" i="19"/>
  <c r="N11" i="19"/>
  <c r="M11" i="19"/>
  <c r="L11" i="19"/>
  <c r="K11" i="19"/>
  <c r="J11" i="19"/>
  <c r="I11" i="19"/>
  <c r="H11" i="19"/>
  <c r="G11" i="19"/>
  <c r="F11" i="19"/>
  <c r="E11" i="19"/>
  <c r="AI10" i="19"/>
  <c r="Q10" i="19" s="1"/>
  <c r="AH10" i="19"/>
  <c r="P10" i="19" s="1"/>
  <c r="R10" i="19"/>
  <c r="O10" i="19"/>
  <c r="N10" i="19"/>
  <c r="M10" i="19"/>
  <c r="L10" i="19"/>
  <c r="K10" i="19"/>
  <c r="J10" i="19"/>
  <c r="I10" i="19"/>
  <c r="H10" i="19"/>
  <c r="G10" i="19"/>
  <c r="F10" i="19"/>
  <c r="E10" i="19"/>
  <c r="AG9" i="19"/>
  <c r="O9" i="19" s="1"/>
  <c r="AF9" i="19"/>
  <c r="AE9" i="19"/>
  <c r="AD9" i="19"/>
  <c r="L9" i="19" s="1"/>
  <c r="AC9" i="19"/>
  <c r="AB9" i="19"/>
  <c r="J9" i="19" s="1"/>
  <c r="AA9" i="19"/>
  <c r="I9" i="19" s="1"/>
  <c r="Z9" i="19"/>
  <c r="Y9" i="19"/>
  <c r="X9" i="19"/>
  <c r="F9" i="19" s="1"/>
  <c r="W9" i="19"/>
  <c r="R9" i="19"/>
  <c r="AH8" i="19"/>
  <c r="P8" i="19" s="1"/>
  <c r="R8" i="19"/>
  <c r="Q8" i="19"/>
  <c r="O8" i="19"/>
  <c r="N8" i="19"/>
  <c r="M8" i="19"/>
  <c r="L8" i="19"/>
  <c r="K8" i="19"/>
  <c r="J8" i="19"/>
  <c r="I8" i="19"/>
  <c r="H8" i="19"/>
  <c r="G8" i="19"/>
  <c r="F8" i="19"/>
  <c r="E8" i="19"/>
  <c r="AI7" i="19"/>
  <c r="Q7" i="19" s="1"/>
  <c r="AH7" i="19"/>
  <c r="P7" i="19" s="1"/>
  <c r="O7" i="19"/>
  <c r="N7" i="19"/>
  <c r="M7" i="19"/>
  <c r="L7" i="19"/>
  <c r="K7" i="19"/>
  <c r="J7" i="19"/>
  <c r="I7" i="19"/>
  <c r="H7" i="19"/>
  <c r="G7" i="19"/>
  <c r="F7" i="19"/>
  <c r="E7" i="19"/>
  <c r="Q6" i="19"/>
  <c r="Q5" i="19"/>
  <c r="O5" i="19"/>
  <c r="N5" i="19"/>
  <c r="M5" i="19"/>
  <c r="L5" i="19"/>
  <c r="K5" i="19"/>
  <c r="J5" i="19"/>
  <c r="I5" i="19"/>
  <c r="H5" i="19"/>
  <c r="G5" i="19"/>
  <c r="F5" i="19"/>
  <c r="E5" i="19"/>
  <c r="AF21" i="18"/>
  <c r="O21" i="18" s="1"/>
  <c r="AE21" i="18"/>
  <c r="N21" i="18" s="1"/>
  <c r="AD21" i="18"/>
  <c r="M21" i="18" s="1"/>
  <c r="AC21" i="18"/>
  <c r="L21" i="18" s="1"/>
  <c r="AB21" i="18"/>
  <c r="K21" i="18" s="1"/>
  <c r="AA21" i="18"/>
  <c r="J21" i="18" s="1"/>
  <c r="Z21" i="18"/>
  <c r="I21" i="18" s="1"/>
  <c r="Y21" i="18"/>
  <c r="H21" i="18" s="1"/>
  <c r="X21" i="18"/>
  <c r="G21" i="18" s="1"/>
  <c r="W21" i="18"/>
  <c r="F21" i="18" s="1"/>
  <c r="V21" i="18"/>
  <c r="E21" i="18" s="1"/>
  <c r="AH20" i="18"/>
  <c r="Q20" i="18" s="1"/>
  <c r="AG20" i="18"/>
  <c r="P20" i="18" s="1"/>
  <c r="O20" i="18"/>
  <c r="N20" i="18"/>
  <c r="M20" i="18"/>
  <c r="L20" i="18"/>
  <c r="K20" i="18"/>
  <c r="J20" i="18"/>
  <c r="I20" i="18"/>
  <c r="H20" i="18"/>
  <c r="G20" i="18"/>
  <c r="F20" i="18"/>
  <c r="E20" i="18"/>
  <c r="AH19" i="18"/>
  <c r="Q19" i="18" s="1"/>
  <c r="AG19" i="18"/>
  <c r="P19" i="18" s="1"/>
  <c r="O19" i="18"/>
  <c r="N19" i="18"/>
  <c r="M19" i="18"/>
  <c r="L19" i="18"/>
  <c r="K19" i="18"/>
  <c r="J19" i="18"/>
  <c r="I19" i="18"/>
  <c r="H19" i="18"/>
  <c r="G19" i="18"/>
  <c r="F19" i="18"/>
  <c r="E19" i="18"/>
  <c r="AH18" i="18"/>
  <c r="Q18" i="18" s="1"/>
  <c r="AG18" i="18"/>
  <c r="P18" i="18" s="1"/>
  <c r="O18" i="18"/>
  <c r="N18" i="18"/>
  <c r="M18" i="18"/>
  <c r="L18" i="18"/>
  <c r="K18" i="18"/>
  <c r="J18" i="18"/>
  <c r="I18" i="18"/>
  <c r="H18" i="18"/>
  <c r="G18" i="18"/>
  <c r="F18" i="18"/>
  <c r="E18" i="18"/>
  <c r="AH17" i="18"/>
  <c r="Q17" i="18" s="1"/>
  <c r="AG17" i="18"/>
  <c r="P17" i="18" s="1"/>
  <c r="O17" i="18"/>
  <c r="N17" i="18"/>
  <c r="M17" i="18"/>
  <c r="L17" i="18"/>
  <c r="K17" i="18"/>
  <c r="J17" i="18"/>
  <c r="I17" i="18"/>
  <c r="H17" i="18"/>
  <c r="G17" i="18"/>
  <c r="F17" i="18"/>
  <c r="E17" i="18"/>
  <c r="AF15" i="18"/>
  <c r="O15" i="18" s="1"/>
  <c r="AE15" i="18"/>
  <c r="N15" i="18" s="1"/>
  <c r="AD15" i="18"/>
  <c r="M15" i="18" s="1"/>
  <c r="AC15" i="18"/>
  <c r="L15" i="18" s="1"/>
  <c r="AB15" i="18"/>
  <c r="K15" i="18" s="1"/>
  <c r="AA15" i="18"/>
  <c r="J15" i="18" s="1"/>
  <c r="Z15" i="18"/>
  <c r="I15" i="18" s="1"/>
  <c r="Y15" i="18"/>
  <c r="H15" i="18" s="1"/>
  <c r="X15" i="18"/>
  <c r="G15" i="18" s="1"/>
  <c r="W15" i="18"/>
  <c r="F15" i="18" s="1"/>
  <c r="V15" i="18"/>
  <c r="E15" i="18" s="1"/>
  <c r="AH9" i="18"/>
  <c r="Q9" i="18" s="1"/>
  <c r="AG9" i="18"/>
  <c r="P9" i="18" s="1"/>
  <c r="O9" i="18"/>
  <c r="N9" i="18"/>
  <c r="M9" i="18"/>
  <c r="L9" i="18"/>
  <c r="K9" i="18"/>
  <c r="J9" i="18"/>
  <c r="I9" i="18"/>
  <c r="H9" i="18"/>
  <c r="G9" i="18"/>
  <c r="F9" i="18"/>
  <c r="E9" i="18"/>
  <c r="AH8" i="18"/>
  <c r="Q8" i="18" s="1"/>
  <c r="AG8" i="18"/>
  <c r="P8" i="18" s="1"/>
  <c r="O8" i="18"/>
  <c r="N8" i="18"/>
  <c r="M8" i="18"/>
  <c r="L8" i="18"/>
  <c r="K8" i="18"/>
  <c r="J8" i="18"/>
  <c r="I8" i="18"/>
  <c r="H8" i="18"/>
  <c r="G8" i="18"/>
  <c r="F8" i="18"/>
  <c r="E8" i="18"/>
  <c r="AH7" i="18"/>
  <c r="Q7" i="18" s="1"/>
  <c r="AG7" i="18"/>
  <c r="P7" i="18" s="1"/>
  <c r="O7" i="18"/>
  <c r="N7" i="18"/>
  <c r="M7" i="18"/>
  <c r="L7" i="18"/>
  <c r="K7" i="18"/>
  <c r="J7" i="18"/>
  <c r="I7" i="18"/>
  <c r="H7" i="18"/>
  <c r="G7" i="18"/>
  <c r="F7" i="18"/>
  <c r="E7" i="18"/>
  <c r="O5" i="18"/>
  <c r="N5" i="18"/>
  <c r="M5" i="18"/>
  <c r="L5" i="18"/>
  <c r="K5" i="18"/>
  <c r="J5" i="18"/>
  <c r="I5" i="18"/>
  <c r="H5" i="18"/>
  <c r="G5" i="18"/>
  <c r="F5" i="18"/>
  <c r="E5" i="18"/>
  <c r="AE14" i="17"/>
  <c r="AC14" i="17"/>
  <c r="AB14" i="17"/>
  <c r="AA14" i="17"/>
  <c r="Z14" i="17"/>
  <c r="Y14" i="17"/>
  <c r="X14" i="17"/>
  <c r="W14" i="17"/>
  <c r="V14" i="17"/>
  <c r="U14" i="17"/>
  <c r="T14" i="17"/>
  <c r="S14" i="17"/>
  <c r="AC13" i="17"/>
  <c r="AB13" i="17"/>
  <c r="AA13" i="17"/>
  <c r="Z13" i="17"/>
  <c r="Y13" i="17"/>
  <c r="X13" i="17"/>
  <c r="W13" i="17"/>
  <c r="V13" i="17"/>
  <c r="U13" i="17"/>
  <c r="T13" i="17"/>
  <c r="S13" i="17"/>
  <c r="AC12" i="17"/>
  <c r="AB12" i="17"/>
  <c r="AA12" i="17"/>
  <c r="Z12" i="17"/>
  <c r="Y12" i="17"/>
  <c r="X12" i="17"/>
  <c r="W12" i="17"/>
  <c r="V12" i="17"/>
  <c r="U12" i="17"/>
  <c r="T12" i="17"/>
  <c r="S12" i="17"/>
  <c r="AC9" i="17"/>
  <c r="M9" i="17" s="1"/>
  <c r="AB9" i="17"/>
  <c r="L9" i="17" s="1"/>
  <c r="AA9" i="17"/>
  <c r="K9" i="17" s="1"/>
  <c r="Z9" i="17"/>
  <c r="J9" i="17" s="1"/>
  <c r="Y9" i="17"/>
  <c r="I9" i="17" s="1"/>
  <c r="X9" i="17"/>
  <c r="H9" i="17" s="1"/>
  <c r="W9" i="17"/>
  <c r="G9" i="17" s="1"/>
  <c r="V9" i="17"/>
  <c r="F9" i="17" s="1"/>
  <c r="U9" i="17"/>
  <c r="E9" i="17" s="1"/>
  <c r="T9" i="17"/>
  <c r="D9" i="17" s="1"/>
  <c r="S9" i="17"/>
  <c r="C9" i="17" s="1"/>
  <c r="O9" i="17"/>
  <c r="N9" i="17"/>
  <c r="AG8" i="17"/>
  <c r="AI8" i="17" s="1"/>
  <c r="AF8" i="17"/>
  <c r="AH8" i="17" s="1"/>
  <c r="AE8" i="17"/>
  <c r="O8" i="17" s="1"/>
  <c r="AD8" i="17"/>
  <c r="N8" i="17" s="1"/>
  <c r="M8" i="17"/>
  <c r="L8" i="17"/>
  <c r="K8" i="17"/>
  <c r="J8" i="17"/>
  <c r="I8" i="17"/>
  <c r="H8" i="17"/>
  <c r="G8" i="17"/>
  <c r="F8" i="17"/>
  <c r="E8" i="17"/>
  <c r="D8" i="17"/>
  <c r="C8" i="17"/>
  <c r="AG7" i="17"/>
  <c r="AI7" i="17" s="1"/>
  <c r="AF7" i="17"/>
  <c r="AH7" i="17" s="1"/>
  <c r="AE7" i="17"/>
  <c r="O7" i="17" s="1"/>
  <c r="AD7" i="17"/>
  <c r="N7" i="17" s="1"/>
  <c r="M7" i="17"/>
  <c r="L7" i="17"/>
  <c r="K7" i="17"/>
  <c r="J7" i="17"/>
  <c r="I7" i="17"/>
  <c r="H7" i="17"/>
  <c r="G7" i="17"/>
  <c r="F7" i="17"/>
  <c r="E7" i="17"/>
  <c r="D7" i="17"/>
  <c r="C7" i="17"/>
  <c r="M5" i="17"/>
  <c r="L5" i="17"/>
  <c r="K5" i="17"/>
  <c r="J5" i="17"/>
  <c r="I5" i="17"/>
  <c r="H5" i="17"/>
  <c r="G5" i="17"/>
  <c r="F5" i="17"/>
  <c r="E5" i="17"/>
  <c r="D5" i="17"/>
  <c r="C5" i="17"/>
  <c r="AF54" i="16"/>
  <c r="AE54" i="16"/>
  <c r="AF53" i="16"/>
  <c r="AE53" i="16"/>
  <c r="AF52" i="16"/>
  <c r="AE52" i="16"/>
  <c r="AF51" i="16"/>
  <c r="AE51" i="16"/>
  <c r="AF50" i="16"/>
  <c r="AE50" i="16"/>
  <c r="AD47" i="16"/>
  <c r="AC47" i="16"/>
  <c r="AB47" i="16"/>
  <c r="AA47" i="16"/>
  <c r="Z47" i="16"/>
  <c r="Y47" i="16"/>
  <c r="X47" i="16"/>
  <c r="W47" i="16"/>
  <c r="V47" i="16"/>
  <c r="U47" i="16"/>
  <c r="T47" i="16"/>
  <c r="AD58" i="16"/>
  <c r="AC58" i="16"/>
  <c r="AB58" i="16"/>
  <c r="AA57" i="16"/>
  <c r="Z58" i="16"/>
  <c r="Y58" i="16"/>
  <c r="X57" i="16"/>
  <c r="W58" i="16"/>
  <c r="V58" i="16"/>
  <c r="U58" i="16"/>
  <c r="T58" i="16"/>
  <c r="AD56" i="16"/>
  <c r="AE29" i="16"/>
  <c r="O30" i="16" s="1"/>
  <c r="AB34" i="16"/>
  <c r="L38" i="16" s="1"/>
  <c r="AA56" i="16"/>
  <c r="Z56" i="16"/>
  <c r="Y34" i="16"/>
  <c r="I38" i="16" s="1"/>
  <c r="X56" i="16"/>
  <c r="W56" i="16"/>
  <c r="V34" i="16"/>
  <c r="F38" i="16" s="1"/>
  <c r="U56" i="16"/>
  <c r="T56" i="16"/>
  <c r="AF43" i="16"/>
  <c r="AE43" i="16"/>
  <c r="AF42" i="16"/>
  <c r="AE42" i="16"/>
  <c r="AF41" i="16"/>
  <c r="AE41" i="16"/>
  <c r="AD38" i="16"/>
  <c r="AC38" i="16"/>
  <c r="AB38" i="16"/>
  <c r="AA38" i="16"/>
  <c r="Z38" i="16"/>
  <c r="Y38" i="16"/>
  <c r="X38" i="16"/>
  <c r="W38" i="16"/>
  <c r="V38" i="16"/>
  <c r="U38" i="16"/>
  <c r="T38" i="16"/>
  <c r="N39" i="16"/>
  <c r="Z34" i="16"/>
  <c r="J38" i="16" s="1"/>
  <c r="AD33" i="16"/>
  <c r="N36" i="16" s="1"/>
  <c r="AC33" i="16"/>
  <c r="M36" i="16" s="1"/>
  <c r="AB33" i="16"/>
  <c r="L36" i="16" s="1"/>
  <c r="AA33" i="16"/>
  <c r="K36" i="16" s="1"/>
  <c r="Z33" i="16"/>
  <c r="J36" i="16" s="1"/>
  <c r="Y33" i="16"/>
  <c r="I36" i="16" s="1"/>
  <c r="X33" i="16"/>
  <c r="H36" i="16" s="1"/>
  <c r="W33" i="16"/>
  <c r="G36" i="16" s="1"/>
  <c r="V33" i="16"/>
  <c r="F36" i="16" s="1"/>
  <c r="U33" i="16"/>
  <c r="E36" i="16" s="1"/>
  <c r="T33" i="16"/>
  <c r="D36" i="16" s="1"/>
  <c r="N32" i="16"/>
  <c r="T31" i="16"/>
  <c r="D32" i="16" s="1"/>
  <c r="N31" i="16"/>
  <c r="AB29" i="16"/>
  <c r="L30" i="16" s="1"/>
  <c r="AD28" i="16"/>
  <c r="N28" i="16" s="1"/>
  <c r="AC28" i="16"/>
  <c r="M28" i="16" s="1"/>
  <c r="AB28" i="16"/>
  <c r="L28" i="16" s="1"/>
  <c r="AA28" i="16"/>
  <c r="K28" i="16" s="1"/>
  <c r="Z28" i="16"/>
  <c r="J28" i="16" s="1"/>
  <c r="Y28" i="16"/>
  <c r="I28" i="16" s="1"/>
  <c r="X28" i="16"/>
  <c r="H28" i="16" s="1"/>
  <c r="W28" i="16"/>
  <c r="G28" i="16" s="1"/>
  <c r="V28" i="16"/>
  <c r="F28" i="16" s="1"/>
  <c r="U28" i="16"/>
  <c r="E28" i="16" s="1"/>
  <c r="T28" i="16"/>
  <c r="D28" i="16" s="1"/>
  <c r="AD25" i="16"/>
  <c r="AC25" i="16"/>
  <c r="AB25" i="16"/>
  <c r="AA25" i="16"/>
  <c r="Z25" i="16"/>
  <c r="Y25" i="16"/>
  <c r="X25" i="16"/>
  <c r="W25" i="16"/>
  <c r="V25" i="16"/>
  <c r="U25" i="16"/>
  <c r="T25" i="16"/>
  <c r="AD24" i="16"/>
  <c r="AC24" i="16"/>
  <c r="AB24" i="16"/>
  <c r="AA24" i="16"/>
  <c r="Z24" i="16"/>
  <c r="Y24" i="16"/>
  <c r="X24" i="16"/>
  <c r="W24" i="16"/>
  <c r="V24" i="16"/>
  <c r="U24" i="16"/>
  <c r="T24" i="16"/>
  <c r="AD23" i="16"/>
  <c r="AC23" i="16"/>
  <c r="AB23" i="16"/>
  <c r="AA23" i="16"/>
  <c r="Z23" i="16"/>
  <c r="Y23" i="16"/>
  <c r="X23" i="16"/>
  <c r="W23" i="16"/>
  <c r="V23" i="16"/>
  <c r="U23" i="16"/>
  <c r="T23" i="16"/>
  <c r="AD22" i="16"/>
  <c r="AC22" i="16"/>
  <c r="AB22" i="16"/>
  <c r="AA22" i="16"/>
  <c r="Z22" i="16"/>
  <c r="Y22" i="16"/>
  <c r="X22" i="16"/>
  <c r="W22" i="16"/>
  <c r="V22" i="16"/>
  <c r="U22" i="16"/>
  <c r="T22" i="16"/>
  <c r="AD21" i="16"/>
  <c r="AC21" i="16"/>
  <c r="AB21" i="16"/>
  <c r="AA21" i="16"/>
  <c r="Z21" i="16"/>
  <c r="Y21" i="16"/>
  <c r="X21" i="16"/>
  <c r="W21" i="16"/>
  <c r="V21" i="16"/>
  <c r="U21" i="16"/>
  <c r="T21" i="16"/>
  <c r="AD20" i="16"/>
  <c r="AC20" i="16"/>
  <c r="AB20" i="16"/>
  <c r="AA20" i="16"/>
  <c r="Z20" i="16"/>
  <c r="Y20" i="16"/>
  <c r="X20" i="16"/>
  <c r="W20" i="16"/>
  <c r="V20" i="16"/>
  <c r="U20" i="16"/>
  <c r="T20" i="16"/>
  <c r="AD19" i="16"/>
  <c r="AC19" i="16"/>
  <c r="AB19" i="16"/>
  <c r="AA19" i="16"/>
  <c r="Z19" i="16"/>
  <c r="Y19" i="16"/>
  <c r="X19" i="16"/>
  <c r="W19" i="16"/>
  <c r="V19" i="16"/>
  <c r="U19" i="16"/>
  <c r="T19" i="16"/>
  <c r="AD16" i="16"/>
  <c r="AC16" i="16"/>
  <c r="AB16" i="16"/>
  <c r="AA16" i="16"/>
  <c r="Z16" i="16"/>
  <c r="Y16" i="16"/>
  <c r="X16" i="16"/>
  <c r="W16" i="16"/>
  <c r="V16" i="16"/>
  <c r="U16" i="16"/>
  <c r="T16" i="16"/>
  <c r="AF13" i="16"/>
  <c r="P13" i="16" s="1"/>
  <c r="AE13" i="16"/>
  <c r="O13" i="16" s="1"/>
  <c r="N13" i="16"/>
  <c r="M13" i="16"/>
  <c r="L13" i="16"/>
  <c r="K13" i="16"/>
  <c r="J13" i="16"/>
  <c r="I13" i="16"/>
  <c r="H13" i="16"/>
  <c r="G13" i="16"/>
  <c r="F13" i="16"/>
  <c r="E13" i="16"/>
  <c r="D13" i="16"/>
  <c r="AF12" i="16"/>
  <c r="P12" i="16" s="1"/>
  <c r="AE12" i="16"/>
  <c r="O12" i="16" s="1"/>
  <c r="N12" i="16"/>
  <c r="M12" i="16"/>
  <c r="L12" i="16"/>
  <c r="K12" i="16"/>
  <c r="J12" i="16"/>
  <c r="I12" i="16"/>
  <c r="H12" i="16"/>
  <c r="G12" i="16"/>
  <c r="F12" i="16"/>
  <c r="E12" i="16"/>
  <c r="D12" i="16"/>
  <c r="AF11" i="16"/>
  <c r="P11" i="16" s="1"/>
  <c r="AE11" i="16"/>
  <c r="O11" i="16" s="1"/>
  <c r="N11" i="16"/>
  <c r="M11" i="16"/>
  <c r="L11" i="16"/>
  <c r="K11" i="16"/>
  <c r="J11" i="16"/>
  <c r="I11" i="16"/>
  <c r="H11" i="16"/>
  <c r="G11" i="16"/>
  <c r="F11" i="16"/>
  <c r="E11" i="16"/>
  <c r="D11" i="16"/>
  <c r="P10" i="16"/>
  <c r="AE10" i="16"/>
  <c r="O10" i="16" s="1"/>
  <c r="N10" i="16"/>
  <c r="M10" i="16"/>
  <c r="L10" i="16"/>
  <c r="K10" i="16"/>
  <c r="J10" i="16"/>
  <c r="I10" i="16"/>
  <c r="H10" i="16"/>
  <c r="G10" i="16"/>
  <c r="F10" i="16"/>
  <c r="E10" i="16"/>
  <c r="D10" i="16"/>
  <c r="P9" i="16"/>
  <c r="AE9" i="16"/>
  <c r="O9" i="16" s="1"/>
  <c r="N9" i="16"/>
  <c r="M9" i="16"/>
  <c r="L9" i="16"/>
  <c r="K9" i="16"/>
  <c r="J9" i="16"/>
  <c r="I9" i="16"/>
  <c r="H9" i="16"/>
  <c r="G9" i="16"/>
  <c r="F9" i="16"/>
  <c r="E9" i="16"/>
  <c r="D9" i="16"/>
  <c r="AF8" i="16"/>
  <c r="P8" i="16" s="1"/>
  <c r="AE8" i="16"/>
  <c r="O8" i="16" s="1"/>
  <c r="N8" i="16"/>
  <c r="M8" i="16"/>
  <c r="L8" i="16"/>
  <c r="K8" i="16"/>
  <c r="J8" i="16"/>
  <c r="I8" i="16"/>
  <c r="H8" i="16"/>
  <c r="G8" i="16"/>
  <c r="F8" i="16"/>
  <c r="E8" i="16"/>
  <c r="D8" i="16"/>
  <c r="AF7" i="16"/>
  <c r="P7" i="16" s="1"/>
  <c r="AE7" i="16"/>
  <c r="O7" i="16" s="1"/>
  <c r="N7" i="16"/>
  <c r="M7" i="16"/>
  <c r="L7" i="16"/>
  <c r="K7" i="16"/>
  <c r="J7" i="16"/>
  <c r="I7" i="16"/>
  <c r="H7" i="16"/>
  <c r="G7" i="16"/>
  <c r="F7" i="16"/>
  <c r="E7" i="16"/>
  <c r="D7" i="16"/>
  <c r="N5" i="16"/>
  <c r="M5" i="16"/>
  <c r="L5" i="16"/>
  <c r="K5" i="16"/>
  <c r="J5" i="16"/>
  <c r="I5" i="16"/>
  <c r="H5" i="16"/>
  <c r="G5" i="16"/>
  <c r="F5" i="16"/>
  <c r="E5" i="16"/>
  <c r="D5" i="16"/>
  <c r="AD29" i="15"/>
  <c r="N16" i="15" s="1"/>
  <c r="AC29" i="15"/>
  <c r="M16" i="15" s="1"/>
  <c r="AB29" i="15"/>
  <c r="L16" i="15" s="1"/>
  <c r="AA29" i="15"/>
  <c r="K16" i="15" s="1"/>
  <c r="Z29" i="15"/>
  <c r="J16" i="15" s="1"/>
  <c r="Y29" i="15"/>
  <c r="I16" i="15" s="1"/>
  <c r="X29" i="15"/>
  <c r="H16" i="15" s="1"/>
  <c r="W29" i="15"/>
  <c r="G16" i="15" s="1"/>
  <c r="V29" i="15"/>
  <c r="F16" i="15" s="1"/>
  <c r="U29" i="15"/>
  <c r="E16" i="15" s="1"/>
  <c r="T29" i="15"/>
  <c r="D16" i="15" s="1"/>
  <c r="AF28" i="15"/>
  <c r="P15" i="15" s="1"/>
  <c r="AE28" i="15"/>
  <c r="O15" i="15" s="1"/>
  <c r="AF27" i="15"/>
  <c r="P14" i="15" s="1"/>
  <c r="AE27" i="15"/>
  <c r="O14" i="15" s="1"/>
  <c r="AD25" i="15"/>
  <c r="N12" i="15" s="1"/>
  <c r="AC25" i="15"/>
  <c r="M12" i="15" s="1"/>
  <c r="AB25" i="15"/>
  <c r="L12" i="15" s="1"/>
  <c r="AA25" i="15"/>
  <c r="K12" i="15" s="1"/>
  <c r="Z25" i="15"/>
  <c r="J12" i="15" s="1"/>
  <c r="Y25" i="15"/>
  <c r="I12" i="15" s="1"/>
  <c r="X25" i="15"/>
  <c r="H12" i="15" s="1"/>
  <c r="W25" i="15"/>
  <c r="G12" i="15" s="1"/>
  <c r="V25" i="15"/>
  <c r="F12" i="15" s="1"/>
  <c r="U25" i="15"/>
  <c r="E12" i="15" s="1"/>
  <c r="T25" i="15"/>
  <c r="D12" i="15" s="1"/>
  <c r="AD16" i="15"/>
  <c r="AC16" i="15"/>
  <c r="AB16" i="15"/>
  <c r="AA16" i="15"/>
  <c r="Z16" i="15"/>
  <c r="Y16" i="15"/>
  <c r="X16" i="15"/>
  <c r="W16" i="15"/>
  <c r="V16" i="15"/>
  <c r="U16" i="15"/>
  <c r="T16" i="15"/>
  <c r="O16" i="15"/>
  <c r="AD15" i="15"/>
  <c r="AC15" i="15"/>
  <c r="AB15" i="15"/>
  <c r="AA15" i="15"/>
  <c r="Z15" i="15"/>
  <c r="Y15" i="15"/>
  <c r="X15" i="15"/>
  <c r="W15" i="15"/>
  <c r="V15" i="15"/>
  <c r="U15" i="15"/>
  <c r="T15" i="15"/>
  <c r="N15" i="15"/>
  <c r="M15" i="15"/>
  <c r="L15" i="15"/>
  <c r="K15" i="15"/>
  <c r="J15" i="15"/>
  <c r="I15" i="15"/>
  <c r="H15" i="15"/>
  <c r="G15" i="15"/>
  <c r="F15" i="15"/>
  <c r="E15" i="15"/>
  <c r="D15" i="15"/>
  <c r="N14" i="15"/>
  <c r="M14" i="15"/>
  <c r="L14" i="15"/>
  <c r="K14" i="15"/>
  <c r="J14" i="15"/>
  <c r="I14" i="15"/>
  <c r="H14" i="15"/>
  <c r="G14" i="15"/>
  <c r="F14" i="15"/>
  <c r="E14" i="15"/>
  <c r="D14" i="15"/>
  <c r="AD12" i="15"/>
  <c r="AC12" i="15"/>
  <c r="AB12" i="15"/>
  <c r="AA12" i="15"/>
  <c r="Z12" i="15"/>
  <c r="Y12" i="15"/>
  <c r="X12" i="15"/>
  <c r="W12" i="15"/>
  <c r="V12" i="15"/>
  <c r="U12" i="15"/>
  <c r="T12" i="15"/>
  <c r="AD9" i="15"/>
  <c r="AC9" i="15"/>
  <c r="M9" i="15" s="1"/>
  <c r="AB9" i="15"/>
  <c r="L9" i="15" s="1"/>
  <c r="AA9" i="15"/>
  <c r="K9" i="15" s="1"/>
  <c r="Z9" i="15"/>
  <c r="J9" i="15" s="1"/>
  <c r="Y9" i="15"/>
  <c r="X9" i="15"/>
  <c r="H9" i="15" s="1"/>
  <c r="W9" i="15"/>
  <c r="G9" i="15" s="1"/>
  <c r="V9" i="15"/>
  <c r="U9" i="15"/>
  <c r="E9" i="15" s="1"/>
  <c r="T9" i="15"/>
  <c r="D9" i="15" s="1"/>
  <c r="P9" i="15"/>
  <c r="O9" i="15"/>
  <c r="AF8" i="15"/>
  <c r="P8" i="15" s="1"/>
  <c r="AE8" i="15"/>
  <c r="O8" i="15" s="1"/>
  <c r="N8" i="15"/>
  <c r="M8" i="15"/>
  <c r="L8" i="15"/>
  <c r="K8" i="15"/>
  <c r="J8" i="15"/>
  <c r="I8" i="15"/>
  <c r="H8" i="15"/>
  <c r="G8" i="15"/>
  <c r="F8" i="15"/>
  <c r="E8" i="15"/>
  <c r="D8" i="15"/>
  <c r="AF7" i="15"/>
  <c r="P7" i="15" s="1"/>
  <c r="AE7" i="15"/>
  <c r="O7" i="15" s="1"/>
  <c r="N7" i="15"/>
  <c r="M7" i="15"/>
  <c r="L7" i="15"/>
  <c r="K7" i="15"/>
  <c r="J7" i="15"/>
  <c r="I7" i="15"/>
  <c r="H7" i="15"/>
  <c r="G7" i="15"/>
  <c r="F7" i="15"/>
  <c r="E7" i="15"/>
  <c r="D7" i="15"/>
  <c r="N5" i="15"/>
  <c r="M5" i="15"/>
  <c r="L5" i="15"/>
  <c r="K5" i="15"/>
  <c r="J5" i="15"/>
  <c r="I5" i="15"/>
  <c r="H5" i="15"/>
  <c r="G5" i="15"/>
  <c r="F5" i="15"/>
  <c r="E5" i="15"/>
  <c r="D5" i="15"/>
  <c r="P22" i="13"/>
  <c r="O22" i="13"/>
  <c r="N22" i="13"/>
  <c r="M22" i="13"/>
  <c r="L22" i="13"/>
  <c r="K22" i="13"/>
  <c r="I22" i="13"/>
  <c r="H22" i="13"/>
  <c r="G22" i="13"/>
  <c r="F22" i="13"/>
  <c r="E22" i="13"/>
  <c r="D22" i="13"/>
  <c r="P21" i="13"/>
  <c r="O21" i="13"/>
  <c r="N21" i="13"/>
  <c r="M21" i="13"/>
  <c r="L21" i="13"/>
  <c r="K21" i="13"/>
  <c r="I21" i="13"/>
  <c r="H21" i="13"/>
  <c r="G21" i="13"/>
  <c r="F21" i="13"/>
  <c r="E21" i="13"/>
  <c r="D21" i="13"/>
  <c r="P20" i="13"/>
  <c r="O20" i="13"/>
  <c r="N20" i="13"/>
  <c r="M20" i="13"/>
  <c r="L20" i="13"/>
  <c r="K20" i="13"/>
  <c r="I20" i="13"/>
  <c r="H20" i="13"/>
  <c r="G20" i="13"/>
  <c r="F20" i="13"/>
  <c r="E20" i="13"/>
  <c r="D20" i="13"/>
  <c r="I19" i="13"/>
  <c r="H19" i="13"/>
  <c r="G19" i="13"/>
  <c r="F19" i="13"/>
  <c r="E19" i="13"/>
  <c r="D19" i="13"/>
  <c r="Q18" i="13"/>
  <c r="J18" i="13"/>
  <c r="P17" i="13"/>
  <c r="O17" i="13"/>
  <c r="N17" i="13"/>
  <c r="M17" i="13"/>
  <c r="L17" i="13"/>
  <c r="K17" i="13"/>
  <c r="I17" i="13"/>
  <c r="H17" i="13"/>
  <c r="G17" i="13"/>
  <c r="F17" i="13"/>
  <c r="E17" i="13"/>
  <c r="D17" i="13"/>
  <c r="Q16" i="13"/>
  <c r="J16" i="13"/>
  <c r="P15" i="13"/>
  <c r="O15" i="13"/>
  <c r="N15" i="13"/>
  <c r="M15" i="13"/>
  <c r="L15" i="13"/>
  <c r="K15" i="13"/>
  <c r="I15" i="13"/>
  <c r="H15" i="13"/>
  <c r="G15" i="13"/>
  <c r="F15" i="13"/>
  <c r="E15" i="13"/>
  <c r="D15" i="13"/>
  <c r="Q14" i="13"/>
  <c r="J14" i="13"/>
  <c r="Q13" i="13"/>
  <c r="J13" i="13"/>
  <c r="P12" i="13"/>
  <c r="O12" i="13"/>
  <c r="N12" i="13"/>
  <c r="M12" i="13"/>
  <c r="L12" i="13"/>
  <c r="K12" i="13"/>
  <c r="I12" i="13"/>
  <c r="H12" i="13"/>
  <c r="G12" i="13"/>
  <c r="F12" i="13"/>
  <c r="E12" i="13"/>
  <c r="D12" i="13"/>
  <c r="P10" i="13"/>
  <c r="O10" i="13"/>
  <c r="N10" i="13"/>
  <c r="M10" i="13"/>
  <c r="L10" i="13"/>
  <c r="K10" i="13"/>
  <c r="I10" i="13"/>
  <c r="H10" i="13"/>
  <c r="G10" i="13"/>
  <c r="F10" i="13"/>
  <c r="E10" i="13"/>
  <c r="D10" i="13"/>
  <c r="J9" i="13"/>
  <c r="P8" i="13"/>
  <c r="O8" i="13"/>
  <c r="N8" i="13"/>
  <c r="M8" i="13"/>
  <c r="L8" i="13"/>
  <c r="K8" i="13"/>
  <c r="I8" i="13"/>
  <c r="H8" i="13"/>
  <c r="G8" i="13"/>
  <c r="F8" i="13"/>
  <c r="E8" i="13"/>
  <c r="D8" i="13"/>
  <c r="Q7" i="13"/>
  <c r="J7" i="13"/>
  <c r="Q6" i="13"/>
  <c r="J6" i="13"/>
  <c r="K27" i="12"/>
  <c r="H27" i="12"/>
  <c r="AB25" i="12"/>
  <c r="AA25" i="12"/>
  <c r="Z25" i="12"/>
  <c r="Y25" i="12"/>
  <c r="AB24" i="12"/>
  <c r="AA24" i="12"/>
  <c r="Z24" i="12"/>
  <c r="Y24" i="12"/>
  <c r="AB23" i="12"/>
  <c r="AA23" i="12"/>
  <c r="Z23" i="12"/>
  <c r="Y23" i="12"/>
  <c r="AB22" i="12"/>
  <c r="AA22" i="12"/>
  <c r="Z22" i="12"/>
  <c r="Y22" i="12"/>
  <c r="AB21" i="12"/>
  <c r="AA21" i="12"/>
  <c r="Z21" i="12"/>
  <c r="Y21" i="12"/>
  <c r="AB20" i="12"/>
  <c r="AA20" i="12"/>
  <c r="Z20" i="12"/>
  <c r="Y20" i="12"/>
  <c r="AB19" i="12"/>
  <c r="AA19" i="12"/>
  <c r="Z19" i="12"/>
  <c r="Y19" i="12"/>
  <c r="AB18" i="12"/>
  <c r="AA18" i="12"/>
  <c r="Z18" i="12"/>
  <c r="Y18" i="12"/>
  <c r="AB17" i="12"/>
  <c r="AA17" i="12"/>
  <c r="Z17" i="12"/>
  <c r="Y17" i="12"/>
  <c r="AB16" i="12"/>
  <c r="AA16" i="12"/>
  <c r="Z16" i="12"/>
  <c r="Y16" i="12"/>
  <c r="AB15" i="12"/>
  <c r="AA15" i="12"/>
  <c r="Z15" i="12"/>
  <c r="Y15" i="12"/>
  <c r="AB14" i="12"/>
  <c r="AA14" i="12"/>
  <c r="Z14" i="12"/>
  <c r="Y14" i="12"/>
  <c r="AB13" i="12"/>
  <c r="AA13" i="12"/>
  <c r="Z13" i="12"/>
  <c r="Y13" i="12"/>
  <c r="AB12" i="12"/>
  <c r="AA12" i="12"/>
  <c r="Z12" i="12"/>
  <c r="Y12" i="12"/>
  <c r="AB11" i="12"/>
  <c r="AA11" i="12"/>
  <c r="Z11" i="12"/>
  <c r="Y11" i="12"/>
  <c r="AB10" i="12"/>
  <c r="AA10" i="12"/>
  <c r="Z10" i="12"/>
  <c r="Y10" i="12"/>
  <c r="AB9" i="12"/>
  <c r="AA9" i="12"/>
  <c r="Z9" i="12"/>
  <c r="Y9" i="12"/>
  <c r="AB8" i="12"/>
  <c r="AA8" i="12"/>
  <c r="Z8" i="12"/>
  <c r="Y8" i="12"/>
  <c r="AB7" i="12"/>
  <c r="AA7" i="12"/>
  <c r="Z7" i="12"/>
  <c r="Y7" i="12"/>
  <c r="AP41" i="11"/>
  <c r="AO41" i="11"/>
  <c r="AN41" i="11"/>
  <c r="AM41" i="11"/>
  <c r="AL41" i="11"/>
  <c r="AK41" i="11"/>
  <c r="AJ41" i="11"/>
  <c r="AI41" i="11"/>
  <c r="AH41" i="11"/>
  <c r="AG41" i="11"/>
  <c r="AF41" i="11"/>
  <c r="AP40" i="11"/>
  <c r="AO40" i="11"/>
  <c r="AN40" i="11"/>
  <c r="AM40" i="11"/>
  <c r="AL40" i="11"/>
  <c r="AK40" i="11"/>
  <c r="AJ40" i="11"/>
  <c r="AI40" i="11"/>
  <c r="AH40" i="11"/>
  <c r="AG40" i="11"/>
  <c r="AF40" i="11"/>
  <c r="AF39" i="11"/>
  <c r="AG39" i="11" s="1"/>
  <c r="AH39" i="11" s="1"/>
  <c r="AI39" i="11" s="1"/>
  <c r="AJ39" i="11" s="1"/>
  <c r="AK39" i="11" s="1"/>
  <c r="AL39" i="11" s="1"/>
  <c r="AM39" i="11" s="1"/>
  <c r="AN39" i="11" s="1"/>
  <c r="AO39" i="11" s="1"/>
  <c r="AP39" i="11" s="1"/>
  <c r="AA31" i="11"/>
  <c r="BA33" i="11"/>
  <c r="Z30" i="11" s="1"/>
  <c r="AY33" i="11"/>
  <c r="BA31" i="11"/>
  <c r="Z28" i="11" s="1"/>
  <c r="AY31" i="11"/>
  <c r="X28" i="11" s="1"/>
  <c r="AW31" i="11"/>
  <c r="V28" i="11" s="1"/>
  <c r="AU31" i="11"/>
  <c r="T28" i="11" s="1"/>
  <c r="AS31" i="11"/>
  <c r="R28" i="11" s="1"/>
  <c r="AQ31" i="11"/>
  <c r="P28" i="11" s="1"/>
  <c r="AO31" i="11"/>
  <c r="N28" i="11" s="1"/>
  <c r="AM31" i="11"/>
  <c r="L28" i="11" s="1"/>
  <c r="AK31" i="11"/>
  <c r="J28" i="11" s="1"/>
  <c r="AI31" i="11"/>
  <c r="H28" i="11" s="1"/>
  <c r="AG31" i="11"/>
  <c r="AB31" i="11"/>
  <c r="Z31" i="11"/>
  <c r="Y31" i="11"/>
  <c r="X31" i="11"/>
  <c r="W31" i="11"/>
  <c r="V31" i="11"/>
  <c r="U31" i="11"/>
  <c r="T31" i="11"/>
  <c r="S31" i="11"/>
  <c r="R31" i="11"/>
  <c r="Q31" i="11"/>
  <c r="P31" i="11"/>
  <c r="O31" i="11"/>
  <c r="N31" i="11"/>
  <c r="M31" i="11"/>
  <c r="K31" i="11"/>
  <c r="J31" i="11"/>
  <c r="I31" i="11"/>
  <c r="H31" i="11"/>
  <c r="G31" i="11"/>
  <c r="F31" i="11"/>
  <c r="E31" i="11"/>
  <c r="Y30" i="11"/>
  <c r="W30" i="11"/>
  <c r="Y28" i="11"/>
  <c r="W28" i="11"/>
  <c r="U28" i="11"/>
  <c r="S28" i="11"/>
  <c r="Q28" i="11"/>
  <c r="O28" i="11"/>
  <c r="M28" i="11"/>
  <c r="K28" i="11"/>
  <c r="I28" i="11"/>
  <c r="G28" i="11"/>
  <c r="AI27" i="11"/>
  <c r="AK27" i="11" s="1"/>
  <c r="AM27" i="11" s="1"/>
  <c r="AO27" i="11" s="1"/>
  <c r="AQ27" i="11" s="1"/>
  <c r="AS27" i="11" s="1"/>
  <c r="AU27" i="11" s="1"/>
  <c r="AW27" i="11" s="1"/>
  <c r="AY27" i="11" s="1"/>
  <c r="BA27" i="11" s="1"/>
  <c r="AH27" i="11"/>
  <c r="AJ27" i="11" s="1"/>
  <c r="E24" i="11"/>
  <c r="AQ9" i="11"/>
  <c r="W9" i="11" s="1"/>
  <c r="AP9" i="11"/>
  <c r="U9" i="11" s="1"/>
  <c r="AO9" i="11"/>
  <c r="S9" i="11" s="1"/>
  <c r="AN9" i="11"/>
  <c r="Q9" i="11" s="1"/>
  <c r="AM9" i="11"/>
  <c r="O9" i="11" s="1"/>
  <c r="AL9" i="11"/>
  <c r="M9" i="11" s="1"/>
  <c r="AK9" i="11"/>
  <c r="K9" i="11" s="1"/>
  <c r="AJ9" i="11"/>
  <c r="I9" i="11" s="1"/>
  <c r="AI9" i="11"/>
  <c r="G9" i="11" s="1"/>
  <c r="AH9" i="11"/>
  <c r="E9" i="11" s="1"/>
  <c r="AA9" i="11"/>
  <c r="AA8" i="11"/>
  <c r="Y8" i="11"/>
  <c r="W8" i="11"/>
  <c r="U8" i="11"/>
  <c r="S8" i="11"/>
  <c r="Q8" i="11"/>
  <c r="O8" i="11"/>
  <c r="M8" i="11"/>
  <c r="K8" i="11"/>
  <c r="I8" i="11"/>
  <c r="G8" i="11"/>
  <c r="E8" i="11"/>
  <c r="AH6" i="11"/>
  <c r="AI6" i="11" s="1"/>
  <c r="G6" i="11" s="1"/>
  <c r="Z16" i="9"/>
  <c r="Z14" i="9"/>
  <c r="Z13" i="9"/>
  <c r="Z15" i="9"/>
  <c r="Z11" i="9"/>
  <c r="Z10" i="9"/>
  <c r="Z12" i="9"/>
  <c r="Z9" i="9"/>
  <c r="Z8" i="9"/>
  <c r="Z7" i="9"/>
  <c r="AB92" i="8"/>
  <c r="AB91" i="8"/>
  <c r="AB90" i="8"/>
  <c r="AB89" i="8"/>
  <c r="AB88" i="8"/>
  <c r="AB87" i="8"/>
  <c r="AB86" i="8"/>
  <c r="AB85" i="8"/>
  <c r="AB84" i="8"/>
  <c r="AF84" i="8"/>
  <c r="AG84" i="8" s="1"/>
  <c r="AH84" i="8" s="1"/>
  <c r="AI84" i="8" s="1"/>
  <c r="AJ84" i="8" s="1"/>
  <c r="AK84" i="8" s="1"/>
  <c r="AL84" i="8" s="1"/>
  <c r="AM84" i="8" s="1"/>
  <c r="AN84" i="8" s="1"/>
  <c r="AO84" i="8" s="1"/>
  <c r="AB83" i="8"/>
  <c r="AB81" i="8"/>
  <c r="Z17" i="8"/>
  <c r="V16" i="8"/>
  <c r="T16" i="8"/>
  <c r="R16" i="8"/>
  <c r="L16" i="8"/>
  <c r="J16" i="8"/>
  <c r="H16" i="8"/>
  <c r="F16" i="8"/>
  <c r="D16" i="8"/>
  <c r="AA17" i="8"/>
  <c r="Y17" i="8"/>
  <c r="X17" i="8"/>
  <c r="W17" i="8"/>
  <c r="V17" i="8"/>
  <c r="U17" i="8"/>
  <c r="T17" i="8"/>
  <c r="S17" i="8"/>
  <c r="R17" i="8"/>
  <c r="Q17" i="8"/>
  <c r="P17" i="8"/>
  <c r="O17" i="8"/>
  <c r="N17" i="8"/>
  <c r="M17" i="8"/>
  <c r="L17" i="8"/>
  <c r="K17" i="8"/>
  <c r="J17" i="8"/>
  <c r="I17" i="8"/>
  <c r="H17" i="8"/>
  <c r="G17" i="8"/>
  <c r="F17" i="8"/>
  <c r="E17" i="8"/>
  <c r="D17" i="8"/>
  <c r="Z14" i="8"/>
  <c r="W14" i="8"/>
  <c r="S14" i="8"/>
  <c r="Q14" i="8"/>
  <c r="O14" i="8"/>
  <c r="M14" i="8"/>
  <c r="K14" i="8"/>
  <c r="I14" i="8"/>
  <c r="G14" i="8"/>
  <c r="E14" i="8"/>
  <c r="N16" i="8"/>
  <c r="Z15" i="8"/>
  <c r="Y15" i="8"/>
  <c r="U15" i="8"/>
  <c r="S15" i="8"/>
  <c r="Q15" i="8"/>
  <c r="O15" i="8"/>
  <c r="M15" i="8"/>
  <c r="K15" i="8"/>
  <c r="I15" i="8"/>
  <c r="G15" i="8"/>
  <c r="E15" i="8"/>
  <c r="X14" i="8"/>
  <c r="V14" i="8"/>
  <c r="U14" i="8"/>
  <c r="T14" i="8"/>
  <c r="R14" i="8"/>
  <c r="P14" i="8"/>
  <c r="N14" i="8"/>
  <c r="L14" i="8"/>
  <c r="J14" i="8"/>
  <c r="H14" i="8"/>
  <c r="F14" i="8"/>
  <c r="Z13" i="8"/>
  <c r="Y13" i="8"/>
  <c r="W13" i="8"/>
  <c r="U13" i="8"/>
  <c r="S13" i="8"/>
  <c r="Q13" i="8"/>
  <c r="O13" i="8"/>
  <c r="M13" i="8"/>
  <c r="K13" i="8"/>
  <c r="I13" i="8"/>
  <c r="X15" i="8"/>
  <c r="W15" i="8"/>
  <c r="V15" i="8"/>
  <c r="T15" i="8"/>
  <c r="R15" i="8"/>
  <c r="P15" i="8"/>
  <c r="N15" i="8"/>
  <c r="L15" i="8"/>
  <c r="J15" i="8"/>
  <c r="H15" i="8"/>
  <c r="F15" i="8"/>
  <c r="Z12" i="8"/>
  <c r="Y12" i="8"/>
  <c r="W12" i="8"/>
  <c r="U12" i="8"/>
  <c r="S12" i="8"/>
  <c r="Q12" i="8"/>
  <c r="O12" i="8"/>
  <c r="M12" i="8"/>
  <c r="I12" i="8"/>
  <c r="G12" i="8"/>
  <c r="E12" i="8"/>
  <c r="X13" i="8"/>
  <c r="V13" i="8"/>
  <c r="T13" i="8"/>
  <c r="R13" i="8"/>
  <c r="P13" i="8"/>
  <c r="N13" i="8"/>
  <c r="L13" i="8"/>
  <c r="J13" i="8"/>
  <c r="H13" i="8"/>
  <c r="G13" i="8"/>
  <c r="F13" i="8"/>
  <c r="D13" i="8"/>
  <c r="Z11" i="8"/>
  <c r="Y11" i="8"/>
  <c r="W11" i="8"/>
  <c r="U11" i="8"/>
  <c r="S11" i="8"/>
  <c r="Q11" i="8"/>
  <c r="O11" i="8"/>
  <c r="M11" i="8"/>
  <c r="K11" i="8"/>
  <c r="I11" i="8"/>
  <c r="G11" i="8"/>
  <c r="E11" i="8"/>
  <c r="X12" i="8"/>
  <c r="V12" i="8"/>
  <c r="T12" i="8"/>
  <c r="R12" i="8"/>
  <c r="P12" i="8"/>
  <c r="N12" i="8"/>
  <c r="L12" i="8"/>
  <c r="K12" i="8"/>
  <c r="J12" i="8"/>
  <c r="H12" i="8"/>
  <c r="F12" i="8"/>
  <c r="D12" i="8"/>
  <c r="Y10" i="8"/>
  <c r="W10" i="8"/>
  <c r="U10" i="8"/>
  <c r="O10" i="8"/>
  <c r="M10" i="8"/>
  <c r="K10" i="8"/>
  <c r="I10" i="8"/>
  <c r="X11" i="8"/>
  <c r="V11" i="8"/>
  <c r="T11" i="8"/>
  <c r="R11" i="8"/>
  <c r="P11" i="8"/>
  <c r="N11" i="8"/>
  <c r="L11" i="8"/>
  <c r="J11" i="8"/>
  <c r="H11" i="8"/>
  <c r="F11" i="8"/>
  <c r="D11" i="8"/>
  <c r="Z9" i="8"/>
  <c r="Y9" i="8"/>
  <c r="W9" i="8"/>
  <c r="U9" i="8"/>
  <c r="S9" i="8"/>
  <c r="M9" i="8"/>
  <c r="K9" i="8"/>
  <c r="G9" i="8"/>
  <c r="AA10" i="8"/>
  <c r="Z10" i="8"/>
  <c r="X10" i="8"/>
  <c r="V10" i="8"/>
  <c r="T10" i="8"/>
  <c r="R10" i="8"/>
  <c r="Q10" i="8"/>
  <c r="P10" i="8"/>
  <c r="N10" i="8"/>
  <c r="L10" i="8"/>
  <c r="J10" i="8"/>
  <c r="H10" i="8"/>
  <c r="F10" i="8"/>
  <c r="E10" i="8"/>
  <c r="D10" i="8"/>
  <c r="X9" i="8"/>
  <c r="V9" i="8"/>
  <c r="T9" i="8"/>
  <c r="R9" i="8"/>
  <c r="P9" i="8"/>
  <c r="O9" i="8"/>
  <c r="N9" i="8"/>
  <c r="L9" i="8"/>
  <c r="J9" i="8"/>
  <c r="H9" i="8"/>
  <c r="F9" i="8"/>
  <c r="D9" i="8"/>
  <c r="E3" i="8"/>
  <c r="AA3" i="8"/>
  <c r="V53" i="7"/>
  <c r="V52" i="7"/>
  <c r="V51" i="7"/>
  <c r="V50" i="7"/>
  <c r="AD22" i="7"/>
  <c r="AC22" i="7"/>
  <c r="AB22" i="7"/>
  <c r="AA22" i="7"/>
  <c r="Z22" i="7"/>
  <c r="Y22" i="7"/>
  <c r="X22" i="7"/>
  <c r="W22" i="7"/>
  <c r="V22" i="7"/>
  <c r="U22" i="7"/>
  <c r="T22" i="7"/>
  <c r="AD21" i="7"/>
  <c r="AC21" i="7"/>
  <c r="AB21" i="7"/>
  <c r="AA21" i="7"/>
  <c r="Z21" i="7"/>
  <c r="Y21" i="7"/>
  <c r="X21" i="7"/>
  <c r="W21" i="7"/>
  <c r="V21" i="7"/>
  <c r="U21" i="7"/>
  <c r="T21" i="7"/>
  <c r="AC20" i="7"/>
  <c r="AB20" i="7"/>
  <c r="AA20" i="7"/>
  <c r="Z20" i="7"/>
  <c r="Y20" i="7"/>
  <c r="X20" i="7"/>
  <c r="W20" i="7"/>
  <c r="V20" i="7"/>
  <c r="U20" i="7"/>
  <c r="T20" i="7"/>
  <c r="AD19" i="7"/>
  <c r="AC19" i="7"/>
  <c r="AB19" i="7"/>
  <c r="AA19" i="7"/>
  <c r="Z19" i="7"/>
  <c r="Y19" i="7"/>
  <c r="X19" i="7"/>
  <c r="W19" i="7"/>
  <c r="V19" i="7"/>
  <c r="U19" i="7"/>
  <c r="T19" i="7"/>
  <c r="AF18" i="7"/>
  <c r="AE18" i="7"/>
  <c r="T18" i="7"/>
  <c r="AF14" i="7"/>
  <c r="AF22" i="7" s="1"/>
  <c r="AE14" i="7"/>
  <c r="AE22" i="7" s="1"/>
  <c r="N13" i="7"/>
  <c r="M13" i="7"/>
  <c r="L13" i="7"/>
  <c r="K13" i="7"/>
  <c r="J13" i="7"/>
  <c r="I13" i="7"/>
  <c r="H13" i="7"/>
  <c r="G13" i="7"/>
  <c r="F13" i="7"/>
  <c r="E13" i="7"/>
  <c r="D13" i="7"/>
  <c r="P11" i="7"/>
  <c r="AE12" i="7"/>
  <c r="O11" i="7" s="1"/>
  <c r="P12" i="7"/>
  <c r="O12" i="7"/>
  <c r="N12" i="7"/>
  <c r="M12" i="7"/>
  <c r="L12" i="7"/>
  <c r="K12" i="7"/>
  <c r="J12" i="7"/>
  <c r="I12" i="7"/>
  <c r="H12" i="7"/>
  <c r="G12" i="7"/>
  <c r="F12" i="7"/>
  <c r="E12" i="7"/>
  <c r="D12" i="7"/>
  <c r="N11" i="7"/>
  <c r="M11" i="7"/>
  <c r="L11" i="7"/>
  <c r="K11" i="7"/>
  <c r="J11" i="7"/>
  <c r="I11" i="7"/>
  <c r="H11" i="7"/>
  <c r="G11" i="7"/>
  <c r="F11" i="7"/>
  <c r="E11" i="7"/>
  <c r="D11" i="7"/>
  <c r="AF20" i="7"/>
  <c r="AE20" i="7"/>
  <c r="O10" i="7"/>
  <c r="N10" i="7"/>
  <c r="M10" i="7"/>
  <c r="L10" i="7"/>
  <c r="K10" i="7"/>
  <c r="J10" i="7"/>
  <c r="I10" i="7"/>
  <c r="H10" i="7"/>
  <c r="G10" i="7"/>
  <c r="F10" i="7"/>
  <c r="E10" i="7"/>
  <c r="D10" i="7"/>
  <c r="M9" i="7"/>
  <c r="L9" i="7"/>
  <c r="K9" i="7"/>
  <c r="J9" i="7"/>
  <c r="I9" i="7"/>
  <c r="H9" i="7"/>
  <c r="G9" i="7"/>
  <c r="F9" i="7"/>
  <c r="E9" i="7"/>
  <c r="D9" i="7"/>
  <c r="AF8" i="7"/>
  <c r="AF19" i="7" s="1"/>
  <c r="AE8" i="7"/>
  <c r="O7" i="7" s="1"/>
  <c r="P8" i="7"/>
  <c r="O8" i="7"/>
  <c r="N7" i="7"/>
  <c r="M7" i="7"/>
  <c r="L7" i="7"/>
  <c r="K7" i="7"/>
  <c r="J7" i="7"/>
  <c r="I7" i="7"/>
  <c r="H7" i="7"/>
  <c r="G7" i="7"/>
  <c r="F7" i="7"/>
  <c r="E7" i="7"/>
  <c r="D7" i="7"/>
  <c r="U5" i="7"/>
  <c r="V5" i="7" s="1"/>
  <c r="D5" i="7"/>
  <c r="U35" i="6"/>
  <c r="AE31" i="6"/>
  <c r="AD31" i="6"/>
  <c r="AC31" i="6"/>
  <c r="AB31" i="6"/>
  <c r="AA31" i="6"/>
  <c r="Z31" i="6"/>
  <c r="Y31" i="6"/>
  <c r="X31" i="6"/>
  <c r="W31" i="6"/>
  <c r="V31" i="6"/>
  <c r="U31" i="6"/>
  <c r="S31" i="6"/>
  <c r="AE29" i="6"/>
  <c r="AD29" i="6"/>
  <c r="AC29" i="6"/>
  <c r="AB29" i="6"/>
  <c r="AA29" i="6"/>
  <c r="Z29" i="6"/>
  <c r="Y29" i="6"/>
  <c r="X29" i="6"/>
  <c r="W29" i="6"/>
  <c r="V29" i="6"/>
  <c r="U29" i="6"/>
  <c r="AG21" i="6"/>
  <c r="AF21" i="6"/>
  <c r="U21" i="6"/>
  <c r="AG16" i="6"/>
  <c r="AG31" i="6" s="1"/>
  <c r="AF16" i="6"/>
  <c r="AF31" i="6" s="1"/>
  <c r="AD30" i="6"/>
  <c r="L14" i="6"/>
  <c r="AB30" i="6"/>
  <c r="AA30" i="6"/>
  <c r="I14" i="6"/>
  <c r="H14" i="6"/>
  <c r="X30" i="6"/>
  <c r="W30" i="6"/>
  <c r="E14" i="6"/>
  <c r="U30" i="6"/>
  <c r="N15" i="6"/>
  <c r="M15" i="6"/>
  <c r="L15" i="6"/>
  <c r="K15" i="6"/>
  <c r="J15" i="6"/>
  <c r="I15" i="6"/>
  <c r="H15" i="6"/>
  <c r="G15" i="6"/>
  <c r="F15" i="6"/>
  <c r="E15" i="6"/>
  <c r="D15" i="6"/>
  <c r="AF29" i="6"/>
  <c r="O12" i="6"/>
  <c r="N13" i="6"/>
  <c r="M13" i="6"/>
  <c r="L13" i="6"/>
  <c r="K13" i="6"/>
  <c r="J13" i="6"/>
  <c r="I13" i="6"/>
  <c r="H13" i="6"/>
  <c r="G13" i="6"/>
  <c r="F13" i="6"/>
  <c r="E13" i="6"/>
  <c r="O10" i="6"/>
  <c r="P9" i="6"/>
  <c r="P7" i="6"/>
  <c r="V5" i="6"/>
  <c r="V21" i="6" s="1"/>
  <c r="D5" i="6"/>
  <c r="AF18" i="5"/>
  <c r="O17" i="5" s="1"/>
  <c r="AE18" i="5"/>
  <c r="N17" i="5" s="1"/>
  <c r="AD18" i="5"/>
  <c r="M17" i="5" s="1"/>
  <c r="AC18" i="5"/>
  <c r="L17" i="5" s="1"/>
  <c r="AB18" i="5"/>
  <c r="K17" i="5" s="1"/>
  <c r="AA18" i="5"/>
  <c r="J17" i="5" s="1"/>
  <c r="Z18" i="5"/>
  <c r="I17" i="5" s="1"/>
  <c r="Y18" i="5"/>
  <c r="H17" i="5" s="1"/>
  <c r="X18" i="5"/>
  <c r="G17" i="5" s="1"/>
  <c r="W18" i="5"/>
  <c r="F17" i="5" s="1"/>
  <c r="V18" i="5"/>
  <c r="E17" i="5" s="1"/>
  <c r="AG17" i="5"/>
  <c r="P16" i="5" s="1"/>
  <c r="P17" i="5"/>
  <c r="AF16" i="5"/>
  <c r="O15" i="5" s="1"/>
  <c r="AE16" i="5"/>
  <c r="N15" i="5" s="1"/>
  <c r="AD16" i="5"/>
  <c r="M15" i="5" s="1"/>
  <c r="AC16" i="5"/>
  <c r="L15" i="5" s="1"/>
  <c r="AB16" i="5"/>
  <c r="K15" i="5" s="1"/>
  <c r="AA16" i="5"/>
  <c r="J15" i="5" s="1"/>
  <c r="Z16" i="5"/>
  <c r="I15" i="5" s="1"/>
  <c r="Y16" i="5"/>
  <c r="H15" i="5" s="1"/>
  <c r="X16" i="5"/>
  <c r="G15" i="5" s="1"/>
  <c r="W16" i="5"/>
  <c r="F15" i="5" s="1"/>
  <c r="V16" i="5"/>
  <c r="E15" i="5" s="1"/>
  <c r="O16" i="5"/>
  <c r="N16" i="5"/>
  <c r="M16" i="5"/>
  <c r="L16" i="5"/>
  <c r="K16" i="5"/>
  <c r="J16" i="5"/>
  <c r="I16" i="5"/>
  <c r="H16" i="5"/>
  <c r="G16" i="5"/>
  <c r="F16" i="5"/>
  <c r="E16" i="5"/>
  <c r="AG15" i="5"/>
  <c r="P14" i="5" s="1"/>
  <c r="P15" i="5"/>
  <c r="AQ14" i="5"/>
  <c r="AP14" i="5"/>
  <c r="AO14" i="5"/>
  <c r="AN14" i="5"/>
  <c r="AM14" i="5"/>
  <c r="AL14" i="5"/>
  <c r="AK14" i="5"/>
  <c r="AJ14" i="5"/>
  <c r="AI14" i="5"/>
  <c r="AG14" i="5"/>
  <c r="P13" i="5" s="1"/>
  <c r="O14" i="5"/>
  <c r="N14" i="5"/>
  <c r="M14" i="5"/>
  <c r="L14" i="5"/>
  <c r="K14" i="5"/>
  <c r="J14" i="5"/>
  <c r="I14" i="5"/>
  <c r="H14" i="5"/>
  <c r="G14" i="5"/>
  <c r="F14" i="5"/>
  <c r="E14" i="5"/>
  <c r="AQ13" i="5"/>
  <c r="AP13" i="5"/>
  <c r="AO13" i="5"/>
  <c r="AN13" i="5"/>
  <c r="AM13" i="5"/>
  <c r="AL13" i="5"/>
  <c r="AK13" i="5"/>
  <c r="AJ13" i="5"/>
  <c r="AI13" i="5"/>
  <c r="AG13" i="5"/>
  <c r="P12" i="5" s="1"/>
  <c r="O13" i="5"/>
  <c r="N13" i="5"/>
  <c r="M13" i="5"/>
  <c r="L13" i="5"/>
  <c r="K13" i="5"/>
  <c r="J13" i="5"/>
  <c r="I13" i="5"/>
  <c r="H13" i="5"/>
  <c r="G13" i="5"/>
  <c r="F13" i="5"/>
  <c r="E13" i="5"/>
  <c r="AQ12" i="5"/>
  <c r="AP12" i="5"/>
  <c r="AO12" i="5"/>
  <c r="AN12" i="5"/>
  <c r="AM12" i="5"/>
  <c r="AL12" i="5"/>
  <c r="AK12" i="5"/>
  <c r="AJ12" i="5"/>
  <c r="AI12" i="5"/>
  <c r="AF12" i="5"/>
  <c r="O11" i="5" s="1"/>
  <c r="AE12" i="5"/>
  <c r="N11" i="5" s="1"/>
  <c r="AD12" i="5"/>
  <c r="M11" i="5" s="1"/>
  <c r="AC12" i="5"/>
  <c r="L11" i="5" s="1"/>
  <c r="AB12" i="5"/>
  <c r="K11" i="5" s="1"/>
  <c r="AA12" i="5"/>
  <c r="J11" i="5" s="1"/>
  <c r="Z12" i="5"/>
  <c r="I11" i="5" s="1"/>
  <c r="Y12" i="5"/>
  <c r="H11" i="5" s="1"/>
  <c r="X12" i="5"/>
  <c r="G11" i="5" s="1"/>
  <c r="W12" i="5"/>
  <c r="F11" i="5" s="1"/>
  <c r="V12" i="5"/>
  <c r="E11" i="5" s="1"/>
  <c r="O12" i="5"/>
  <c r="N12" i="5"/>
  <c r="M12" i="5"/>
  <c r="L12" i="5"/>
  <c r="K12" i="5"/>
  <c r="J12" i="5"/>
  <c r="I12" i="5"/>
  <c r="H12" i="5"/>
  <c r="G12" i="5"/>
  <c r="F12" i="5"/>
  <c r="E12" i="5"/>
  <c r="AG11" i="5"/>
  <c r="P10" i="5" s="1"/>
  <c r="P11" i="5"/>
  <c r="AG10" i="5"/>
  <c r="P9" i="5" s="1"/>
  <c r="O10" i="5"/>
  <c r="N10" i="5"/>
  <c r="M10" i="5"/>
  <c r="L10" i="5"/>
  <c r="K10" i="5"/>
  <c r="J10" i="5"/>
  <c r="I10" i="5"/>
  <c r="H10" i="5"/>
  <c r="G10" i="5"/>
  <c r="F10" i="5"/>
  <c r="E10" i="5"/>
  <c r="AG9" i="5"/>
  <c r="P8" i="5" s="1"/>
  <c r="O9" i="5"/>
  <c r="N9" i="5"/>
  <c r="M9" i="5"/>
  <c r="L9" i="5"/>
  <c r="K9" i="5"/>
  <c r="J9" i="5"/>
  <c r="I9" i="5"/>
  <c r="H9" i="5"/>
  <c r="G9" i="5"/>
  <c r="F9" i="5"/>
  <c r="E9" i="5"/>
  <c r="O8" i="5"/>
  <c r="N8" i="5"/>
  <c r="M8" i="5"/>
  <c r="L8" i="5"/>
  <c r="K8" i="5"/>
  <c r="J8" i="5"/>
  <c r="I8" i="5"/>
  <c r="H8" i="5"/>
  <c r="G8" i="5"/>
  <c r="F8" i="5"/>
  <c r="E8" i="5"/>
  <c r="V6" i="5"/>
  <c r="W6" i="5" s="1"/>
  <c r="AI35" i="4"/>
  <c r="R35" i="4" s="1"/>
  <c r="AH35" i="4"/>
  <c r="Q35" i="4" s="1"/>
  <c r="P35" i="4"/>
  <c r="O35" i="4"/>
  <c r="N35" i="4"/>
  <c r="M35" i="4"/>
  <c r="L35" i="4"/>
  <c r="K35" i="4"/>
  <c r="J35" i="4"/>
  <c r="I35" i="4"/>
  <c r="H35" i="4"/>
  <c r="G35" i="4"/>
  <c r="F35" i="4"/>
  <c r="AI34" i="4"/>
  <c r="R34" i="4" s="1"/>
  <c r="AH34" i="4"/>
  <c r="Q34" i="4" s="1"/>
  <c r="P34" i="4"/>
  <c r="O34" i="4"/>
  <c r="N34" i="4"/>
  <c r="M34" i="4"/>
  <c r="L34" i="4"/>
  <c r="K34" i="4"/>
  <c r="J34" i="4"/>
  <c r="I34" i="4"/>
  <c r="H34" i="4"/>
  <c r="G34" i="4"/>
  <c r="F34" i="4"/>
  <c r="AI33" i="4"/>
  <c r="R33" i="4" s="1"/>
  <c r="AH33" i="4"/>
  <c r="Q33" i="4" s="1"/>
  <c r="P33" i="4"/>
  <c r="O33" i="4"/>
  <c r="N33" i="4"/>
  <c r="M33" i="4"/>
  <c r="L33" i="4"/>
  <c r="K33" i="4"/>
  <c r="J33" i="4"/>
  <c r="I33" i="4"/>
  <c r="H33" i="4"/>
  <c r="G33" i="4"/>
  <c r="F33" i="4"/>
  <c r="AI32" i="4"/>
  <c r="R32" i="4" s="1"/>
  <c r="AH32" i="4"/>
  <c r="Q32" i="4" s="1"/>
  <c r="P32" i="4"/>
  <c r="O32" i="4"/>
  <c r="N32" i="4"/>
  <c r="M32" i="4"/>
  <c r="L32" i="4"/>
  <c r="K32" i="4"/>
  <c r="J32" i="4"/>
  <c r="I32" i="4"/>
  <c r="H32" i="4"/>
  <c r="G32" i="4"/>
  <c r="F32" i="4"/>
  <c r="AI31" i="4"/>
  <c r="R31" i="4" s="1"/>
  <c r="AH31" i="4"/>
  <c r="Q31" i="4" s="1"/>
  <c r="P31" i="4"/>
  <c r="O31" i="4"/>
  <c r="N31" i="4"/>
  <c r="M31" i="4"/>
  <c r="L31" i="4"/>
  <c r="K31" i="4"/>
  <c r="J31" i="4"/>
  <c r="I31" i="4"/>
  <c r="H31" i="4"/>
  <c r="G31" i="4"/>
  <c r="F31" i="4"/>
  <c r="AI30" i="4"/>
  <c r="R30" i="4" s="1"/>
  <c r="AH30" i="4"/>
  <c r="Q30" i="4" s="1"/>
  <c r="P30" i="4"/>
  <c r="O30" i="4"/>
  <c r="N30" i="4"/>
  <c r="M30" i="4"/>
  <c r="L30" i="4"/>
  <c r="K30" i="4"/>
  <c r="J30" i="4"/>
  <c r="I30" i="4"/>
  <c r="H30" i="4"/>
  <c r="G30" i="4"/>
  <c r="F30" i="4"/>
  <c r="AI29" i="4"/>
  <c r="R29" i="4" s="1"/>
  <c r="AH29" i="4"/>
  <c r="Q29" i="4" s="1"/>
  <c r="P29" i="4"/>
  <c r="O29" i="4"/>
  <c r="N29" i="4"/>
  <c r="M29" i="4"/>
  <c r="L29" i="4"/>
  <c r="K29" i="4"/>
  <c r="J29" i="4"/>
  <c r="I29" i="4"/>
  <c r="H29" i="4"/>
  <c r="G29" i="4"/>
  <c r="F29" i="4"/>
  <c r="R28" i="4"/>
  <c r="Q28" i="4"/>
  <c r="P28" i="4"/>
  <c r="O28" i="4"/>
  <c r="N28" i="4"/>
  <c r="M28" i="4"/>
  <c r="L28" i="4"/>
  <c r="K28" i="4"/>
  <c r="J28" i="4"/>
  <c r="I28" i="4"/>
  <c r="H28" i="4"/>
  <c r="G28" i="4"/>
  <c r="F28" i="4"/>
  <c r="R27" i="4"/>
  <c r="Q27" i="4"/>
  <c r="O27" i="4"/>
  <c r="N27" i="4"/>
  <c r="M27" i="4"/>
  <c r="L27" i="4"/>
  <c r="K27" i="4"/>
  <c r="J27" i="4"/>
  <c r="I27" i="4"/>
  <c r="H27" i="4"/>
  <c r="G27" i="4"/>
  <c r="R26" i="4"/>
  <c r="Q26" i="4"/>
  <c r="P26" i="4"/>
  <c r="O26" i="4"/>
  <c r="N26" i="4"/>
  <c r="M26" i="4"/>
  <c r="L26" i="4"/>
  <c r="K26" i="4"/>
  <c r="J26" i="4"/>
  <c r="I26" i="4"/>
  <c r="H26" i="4"/>
  <c r="G26" i="4"/>
  <c r="F26" i="4"/>
  <c r="R25" i="4"/>
  <c r="Q25" i="4"/>
  <c r="P25" i="4"/>
  <c r="O25" i="4"/>
  <c r="N25" i="4"/>
  <c r="M25" i="4"/>
  <c r="L25" i="4"/>
  <c r="K25" i="4"/>
  <c r="J25" i="4"/>
  <c r="I25" i="4"/>
  <c r="H25" i="4"/>
  <c r="G25" i="4"/>
  <c r="F25" i="4"/>
  <c r="P24" i="4"/>
  <c r="AF24" i="4"/>
  <c r="O24" i="4" s="1"/>
  <c r="AE24" i="4"/>
  <c r="N24" i="4" s="1"/>
  <c r="AD24" i="4"/>
  <c r="M24" i="4" s="1"/>
  <c r="AC24" i="4"/>
  <c r="L24" i="4" s="1"/>
  <c r="AB24" i="4"/>
  <c r="K24" i="4" s="1"/>
  <c r="AA24" i="4"/>
  <c r="J24" i="4" s="1"/>
  <c r="Z24" i="4"/>
  <c r="I24" i="4" s="1"/>
  <c r="Y24" i="4"/>
  <c r="H24" i="4" s="1"/>
  <c r="X24" i="4"/>
  <c r="G24" i="4" s="1"/>
  <c r="W24" i="4"/>
  <c r="F24" i="4" s="1"/>
  <c r="R24" i="4"/>
  <c r="Q24" i="4"/>
  <c r="R22" i="4"/>
  <c r="Q22" i="4"/>
  <c r="P22" i="4"/>
  <c r="R21" i="4"/>
  <c r="Q21" i="4"/>
  <c r="P21" i="4"/>
  <c r="O21" i="4"/>
  <c r="N21" i="4"/>
  <c r="M21" i="4"/>
  <c r="L21" i="4"/>
  <c r="K21" i="4"/>
  <c r="J21" i="4"/>
  <c r="I21" i="4"/>
  <c r="H21" i="4"/>
  <c r="G21" i="4"/>
  <c r="AI19" i="4"/>
  <c r="R19" i="4" s="1"/>
  <c r="AH19" i="4"/>
  <c r="Q19" i="4" s="1"/>
  <c r="P19" i="4"/>
  <c r="O19" i="4"/>
  <c r="N19" i="4"/>
  <c r="M19" i="4"/>
  <c r="L19" i="4"/>
  <c r="K19" i="4"/>
  <c r="J19" i="4"/>
  <c r="I19" i="4"/>
  <c r="H19" i="4"/>
  <c r="G19" i="4"/>
  <c r="F19" i="4"/>
  <c r="AI18" i="4"/>
  <c r="R18" i="4" s="1"/>
  <c r="AH18" i="4"/>
  <c r="Q18" i="4" s="1"/>
  <c r="P18" i="4"/>
  <c r="O18" i="4"/>
  <c r="N18" i="4"/>
  <c r="M18" i="4"/>
  <c r="L18" i="4"/>
  <c r="K18" i="4"/>
  <c r="J18" i="4"/>
  <c r="I18" i="4"/>
  <c r="H18" i="4"/>
  <c r="G18" i="4"/>
  <c r="F18" i="4"/>
  <c r="AI17" i="4"/>
  <c r="R17" i="4" s="1"/>
  <c r="AH17" i="4"/>
  <c r="Q17" i="4" s="1"/>
  <c r="P17" i="4"/>
  <c r="O17" i="4"/>
  <c r="N17" i="4"/>
  <c r="M17" i="4"/>
  <c r="L17" i="4"/>
  <c r="K17" i="4"/>
  <c r="J17" i="4"/>
  <c r="I17" i="4"/>
  <c r="H17" i="4"/>
  <c r="G17" i="4"/>
  <c r="F17" i="4"/>
  <c r="AI16" i="4"/>
  <c r="R16" i="4" s="1"/>
  <c r="AH16" i="4"/>
  <c r="Q16" i="4" s="1"/>
  <c r="O16" i="4"/>
  <c r="N16" i="4"/>
  <c r="M16" i="4"/>
  <c r="L16" i="4"/>
  <c r="K16" i="4"/>
  <c r="J16" i="4"/>
  <c r="I16" i="4"/>
  <c r="H16" i="4"/>
  <c r="G16" i="4"/>
  <c r="F16" i="4"/>
  <c r="AI15" i="4"/>
  <c r="R15" i="4" s="1"/>
  <c r="AH15" i="4"/>
  <c r="Q15" i="4" s="1"/>
  <c r="P15" i="4"/>
  <c r="O15" i="4"/>
  <c r="N15" i="4"/>
  <c r="M15" i="4"/>
  <c r="L15" i="4"/>
  <c r="K15" i="4"/>
  <c r="J15" i="4"/>
  <c r="I15" i="4"/>
  <c r="H15" i="4"/>
  <c r="G15" i="4"/>
  <c r="F15" i="4"/>
  <c r="AI14" i="4"/>
  <c r="R14" i="4" s="1"/>
  <c r="AH14" i="4"/>
  <c r="Q14" i="4" s="1"/>
  <c r="P14" i="4"/>
  <c r="O14" i="4"/>
  <c r="N14" i="4"/>
  <c r="M14" i="4"/>
  <c r="L14" i="4"/>
  <c r="K14" i="4"/>
  <c r="J14" i="4"/>
  <c r="I14" i="4"/>
  <c r="H14" i="4"/>
  <c r="G14" i="4"/>
  <c r="F14" i="4"/>
  <c r="AI12" i="4"/>
  <c r="R12" i="4" s="1"/>
  <c r="AH12" i="4"/>
  <c r="Q12" i="4" s="1"/>
  <c r="P12" i="4"/>
  <c r="O12" i="4"/>
  <c r="N12" i="4"/>
  <c r="M12" i="4"/>
  <c r="L12" i="4"/>
  <c r="K12" i="4"/>
  <c r="J12" i="4"/>
  <c r="I12" i="4"/>
  <c r="H12" i="4"/>
  <c r="G12" i="4"/>
  <c r="F12" i="4"/>
  <c r="AI11" i="4"/>
  <c r="R11" i="4" s="1"/>
  <c r="AH11" i="4"/>
  <c r="Q11" i="4" s="1"/>
  <c r="P11" i="4"/>
  <c r="O11" i="4"/>
  <c r="N11" i="4"/>
  <c r="M11" i="4"/>
  <c r="L11" i="4"/>
  <c r="K11" i="4"/>
  <c r="J11" i="4"/>
  <c r="I11" i="4"/>
  <c r="H11" i="4"/>
  <c r="G11" i="4"/>
  <c r="F11" i="4"/>
  <c r="AI10" i="4"/>
  <c r="R10" i="4" s="1"/>
  <c r="AH10" i="4"/>
  <c r="Q10" i="4" s="1"/>
  <c r="P10" i="4"/>
  <c r="O10" i="4"/>
  <c r="N10" i="4"/>
  <c r="M10" i="4"/>
  <c r="L10" i="4"/>
  <c r="K10" i="4"/>
  <c r="J10" i="4"/>
  <c r="I10" i="4"/>
  <c r="H10" i="4"/>
  <c r="G10" i="4"/>
  <c r="F10" i="4"/>
  <c r="AI9" i="4"/>
  <c r="R9" i="4" s="1"/>
  <c r="AH9" i="4"/>
  <c r="Q9" i="4" s="1"/>
  <c r="P9" i="4"/>
  <c r="O9" i="4"/>
  <c r="N9" i="4"/>
  <c r="M9" i="4"/>
  <c r="L9" i="4"/>
  <c r="K9" i="4"/>
  <c r="J9" i="4"/>
  <c r="I9" i="4"/>
  <c r="H9" i="4"/>
  <c r="G9" i="4"/>
  <c r="F9" i="4"/>
  <c r="AI8" i="4"/>
  <c r="AK8" i="4" s="1"/>
  <c r="AH8" i="4"/>
  <c r="Q8" i="4" s="1"/>
  <c r="P8" i="4"/>
  <c r="O8" i="4"/>
  <c r="N8" i="4"/>
  <c r="M8" i="4"/>
  <c r="L8" i="4"/>
  <c r="K8" i="4"/>
  <c r="J8" i="4"/>
  <c r="I8" i="4"/>
  <c r="H8" i="4"/>
  <c r="G8" i="4"/>
  <c r="F8" i="4"/>
  <c r="P5" i="4"/>
  <c r="O5" i="4"/>
  <c r="N5" i="4"/>
  <c r="M5" i="4"/>
  <c r="L5" i="4"/>
  <c r="K5" i="4"/>
  <c r="J5" i="4"/>
  <c r="I5" i="4"/>
  <c r="H5" i="4"/>
  <c r="G5" i="4"/>
  <c r="F5" i="4"/>
  <c r="N9" i="15" l="1"/>
  <c r="AJ9" i="15"/>
  <c r="M14" i="22"/>
  <c r="P14" i="24"/>
  <c r="AG27" i="6"/>
  <c r="P11" i="6"/>
  <c r="AG28" i="6"/>
  <c r="P12" i="6"/>
  <c r="AA43" i="21"/>
  <c r="I8" i="7"/>
  <c r="AF23" i="6"/>
  <c r="O7" i="6"/>
  <c r="AF24" i="6"/>
  <c r="O8" i="6"/>
  <c r="AF27" i="6"/>
  <c r="O11" i="6"/>
  <c r="AG24" i="6"/>
  <c r="P8" i="6"/>
  <c r="AF25" i="6"/>
  <c r="O9" i="6"/>
  <c r="AG26" i="6"/>
  <c r="P10" i="6"/>
  <c r="Y15" i="19"/>
  <c r="G15" i="19" s="1"/>
  <c r="Y24" i="20"/>
  <c r="AA27" i="20"/>
  <c r="J14" i="6"/>
  <c r="V31" i="16"/>
  <c r="F32" i="16" s="1"/>
  <c r="T34" i="16"/>
  <c r="D38" i="16" s="1"/>
  <c r="T29" i="16"/>
  <c r="D30" i="16" s="1"/>
  <c r="X31" i="16"/>
  <c r="H32" i="16" s="1"/>
  <c r="J14" i="22"/>
  <c r="V35" i="16"/>
  <c r="F39" i="16" s="1"/>
  <c r="Q19" i="13"/>
  <c r="AI29" i="21"/>
  <c r="R29" i="21" s="1"/>
  <c r="X11" i="23"/>
  <c r="R18" i="13"/>
  <c r="AJ20" i="18" s="1"/>
  <c r="J17" i="13"/>
  <c r="M14" i="6"/>
  <c r="AH29" i="21"/>
  <c r="Q29" i="21" s="1"/>
  <c r="Z24" i="20"/>
  <c r="AB27" i="20"/>
  <c r="AA30" i="20"/>
  <c r="X34" i="23"/>
  <c r="P18" i="24"/>
  <c r="X8" i="23"/>
  <c r="AG44" i="21"/>
  <c r="AI13" i="21"/>
  <c r="R13" i="21" s="1"/>
  <c r="T36" i="16"/>
  <c r="D40" i="16" s="1"/>
  <c r="P26" i="24"/>
  <c r="P28" i="24"/>
  <c r="T30" i="16"/>
  <c r="D31" i="16" s="1"/>
  <c r="AI22" i="20"/>
  <c r="AE15" i="21"/>
  <c r="N15" i="21" s="1"/>
  <c r="K14" i="22"/>
  <c r="X18" i="23"/>
  <c r="X39" i="23"/>
  <c r="X29" i="23"/>
  <c r="X30" i="23"/>
  <c r="X9" i="23"/>
  <c r="BC31" i="11"/>
  <c r="AA28" i="11"/>
  <c r="F28" i="11"/>
  <c r="P19" i="24"/>
  <c r="O31" i="24"/>
  <c r="O36" i="24"/>
  <c r="P37" i="24"/>
  <c r="P36" i="24"/>
  <c r="AB57" i="16"/>
  <c r="P9" i="7"/>
  <c r="N13" i="21"/>
  <c r="X35" i="23"/>
  <c r="P5" i="24"/>
  <c r="Q9" i="12"/>
  <c r="R6" i="13"/>
  <c r="Q21" i="13"/>
  <c r="W15" i="21"/>
  <c r="F15" i="21" s="1"/>
  <c r="AF43" i="21"/>
  <c r="AB15" i="17"/>
  <c r="AE24" i="20"/>
  <c r="AH23" i="20"/>
  <c r="X27" i="23"/>
  <c r="X28" i="23"/>
  <c r="F8" i="7"/>
  <c r="O13" i="7"/>
  <c r="R9" i="13"/>
  <c r="W17" i="15"/>
  <c r="AB35" i="16"/>
  <c r="L39" i="16" s="1"/>
  <c r="X43" i="21"/>
  <c r="X49" i="23"/>
  <c r="AF30" i="20"/>
  <c r="V30" i="6"/>
  <c r="X16" i="23"/>
  <c r="AE21" i="7"/>
  <c r="Q12" i="13"/>
  <c r="X31" i="21"/>
  <c r="G31" i="21" s="1"/>
  <c r="E14" i="22"/>
  <c r="O15" i="6"/>
  <c r="G14" i="6"/>
  <c r="AB30" i="16"/>
  <c r="L31" i="16" s="1"/>
  <c r="AB36" i="16"/>
  <c r="L40" i="16" s="1"/>
  <c r="V15" i="17"/>
  <c r="X33" i="23"/>
  <c r="R8" i="4"/>
  <c r="Q16" i="8"/>
  <c r="Z29" i="16"/>
  <c r="J30" i="16" s="1"/>
  <c r="AB31" i="16"/>
  <c r="L32" i="16" s="1"/>
  <c r="J8" i="7"/>
  <c r="AB43" i="21"/>
  <c r="X40" i="23"/>
  <c r="AE19" i="7"/>
  <c r="U34" i="16"/>
  <c r="E38" i="16" s="1"/>
  <c r="L8" i="7"/>
  <c r="AA13" i="8"/>
  <c r="E6" i="11"/>
  <c r="X34" i="16"/>
  <c r="H38" i="16" s="1"/>
  <c r="V36" i="16"/>
  <c r="F40" i="16" s="1"/>
  <c r="W15" i="17"/>
  <c r="X15" i="17"/>
  <c r="AA24" i="20"/>
  <c r="AB24" i="20"/>
  <c r="AC27" i="20"/>
  <c r="AC30" i="20"/>
  <c r="AB40" i="21"/>
  <c r="X19" i="23"/>
  <c r="X48" i="23"/>
  <c r="X55" i="23"/>
  <c r="AF26" i="6"/>
  <c r="AB17" i="15"/>
  <c r="V30" i="16"/>
  <c r="F31" i="16" s="1"/>
  <c r="H13" i="21"/>
  <c r="AC15" i="21"/>
  <c r="L15" i="21" s="1"/>
  <c r="X42" i="23"/>
  <c r="AF28" i="6"/>
  <c r="E8" i="7"/>
  <c r="X30" i="16"/>
  <c r="H31" i="16" s="1"/>
  <c r="AA34" i="16"/>
  <c r="K38" i="16" s="1"/>
  <c r="AC36" i="16"/>
  <c r="M40" i="16" s="1"/>
  <c r="AF27" i="20"/>
  <c r="K13" i="21"/>
  <c r="AH13" i="21"/>
  <c r="Q13" i="21" s="1"/>
  <c r="E5" i="6"/>
  <c r="E16" i="8"/>
  <c r="J10" i="13"/>
  <c r="Q20" i="13"/>
  <c r="AD34" i="16"/>
  <c r="N38" i="16" s="1"/>
  <c r="L13" i="21"/>
  <c r="Z16" i="8"/>
  <c r="W30" i="20"/>
  <c r="AI29" i="20"/>
  <c r="I14" i="21"/>
  <c r="W5" i="6"/>
  <c r="W35" i="6" s="1"/>
  <c r="K14" i="6"/>
  <c r="Y30" i="6"/>
  <c r="I16" i="8"/>
  <c r="J8" i="13"/>
  <c r="AC17" i="15"/>
  <c r="X35" i="16"/>
  <c r="H39" i="16" s="1"/>
  <c r="AE15" i="19"/>
  <c r="AE21" i="19" s="1"/>
  <c r="W31" i="21"/>
  <c r="F31" i="21" s="1"/>
  <c r="X37" i="23"/>
  <c r="X52" i="23"/>
  <c r="V57" i="16"/>
  <c r="AD31" i="21"/>
  <c r="M31" i="21" s="1"/>
  <c r="V35" i="6"/>
  <c r="V17" i="15"/>
  <c r="U29" i="16"/>
  <c r="E30" i="16" s="1"/>
  <c r="X53" i="23"/>
  <c r="K8" i="7"/>
  <c r="H8" i="7"/>
  <c r="V29" i="16"/>
  <c r="F30" i="16" s="1"/>
  <c r="Z31" i="16"/>
  <c r="J32" i="16" s="1"/>
  <c r="AE44" i="16"/>
  <c r="T15" i="17"/>
  <c r="Z27" i="20"/>
  <c r="AB31" i="21"/>
  <c r="K31" i="21" s="1"/>
  <c r="Z31" i="21"/>
  <c r="I31" i="21" s="1"/>
  <c r="Z43" i="21"/>
  <c r="X54" i="23"/>
  <c r="W5" i="7"/>
  <c r="V18" i="7"/>
  <c r="F5" i="7"/>
  <c r="F14" i="6"/>
  <c r="K16" i="8"/>
  <c r="AA15" i="8"/>
  <c r="AJ6" i="11"/>
  <c r="R13" i="13"/>
  <c r="T17" i="15"/>
  <c r="AA35" i="16"/>
  <c r="K39" i="16" s="1"/>
  <c r="Y57" i="16"/>
  <c r="Y15" i="17"/>
  <c r="G9" i="19"/>
  <c r="AB15" i="19"/>
  <c r="AB21" i="19" s="1"/>
  <c r="X24" i="20"/>
  <c r="X30" i="20"/>
  <c r="M33" i="20"/>
  <c r="F13" i="21"/>
  <c r="X15" i="21"/>
  <c r="G15" i="21" s="1"/>
  <c r="AE40" i="21"/>
  <c r="AF40" i="21"/>
  <c r="X10" i="23"/>
  <c r="X25" i="23"/>
  <c r="Y30" i="20"/>
  <c r="AG40" i="21"/>
  <c r="AG43" i="21"/>
  <c r="AG23" i="6"/>
  <c r="E5" i="7"/>
  <c r="N8" i="7"/>
  <c r="U18" i="7"/>
  <c r="O16" i="8"/>
  <c r="J20" i="13"/>
  <c r="U30" i="16"/>
  <c r="E31" i="16" s="1"/>
  <c r="U31" i="16"/>
  <c r="E32" i="16" s="1"/>
  <c r="W34" i="16"/>
  <c r="G38" i="16" s="1"/>
  <c r="AC57" i="16"/>
  <c r="Z15" i="17"/>
  <c r="AA15" i="17"/>
  <c r="I13" i="21"/>
  <c r="AA31" i="21"/>
  <c r="J31" i="21" s="1"/>
  <c r="W43" i="21"/>
  <c r="X12" i="23"/>
  <c r="X17" i="23"/>
  <c r="X26" i="23"/>
  <c r="X46" i="23"/>
  <c r="Q15" i="12"/>
  <c r="Q18" i="12"/>
  <c r="Q21" i="12"/>
  <c r="AD15" i="19"/>
  <c r="L15" i="19" s="1"/>
  <c r="W40" i="21"/>
  <c r="D8" i="7"/>
  <c r="M8" i="7"/>
  <c r="R14" i="13"/>
  <c r="X17" i="15"/>
  <c r="W31" i="16"/>
  <c r="G32" i="16" s="1"/>
  <c r="X58" i="16"/>
  <c r="AC15" i="17"/>
  <c r="M9" i="19"/>
  <c r="AC24" i="20"/>
  <c r="AD27" i="20"/>
  <c r="AE27" i="20"/>
  <c r="AB30" i="20"/>
  <c r="AB15" i="21"/>
  <c r="K15" i="21" s="1"/>
  <c r="X40" i="21"/>
  <c r="Y43" i="21"/>
  <c r="X13" i="23"/>
  <c r="X41" i="23"/>
  <c r="X47" i="23"/>
  <c r="G16" i="8"/>
  <c r="Q8" i="13"/>
  <c r="Q15" i="13"/>
  <c r="Y30" i="16"/>
  <c r="I31" i="16" s="1"/>
  <c r="F14" i="21"/>
  <c r="AE31" i="21"/>
  <c r="N31" i="21" s="1"/>
  <c r="X40" i="22"/>
  <c r="E9" i="8"/>
  <c r="Q9" i="8"/>
  <c r="R7" i="13"/>
  <c r="J19" i="13"/>
  <c r="Z17" i="15"/>
  <c r="AA30" i="16"/>
  <c r="K31" i="16" s="1"/>
  <c r="Y31" i="16"/>
  <c r="I32" i="16" s="1"/>
  <c r="AC34" i="16"/>
  <c r="M38" i="16" s="1"/>
  <c r="S15" i="17"/>
  <c r="AD24" i="20"/>
  <c r="AD30" i="20"/>
  <c r="AD40" i="21"/>
  <c r="H14" i="21"/>
  <c r="Z40" i="21"/>
  <c r="X36" i="23"/>
  <c r="X43" i="23"/>
  <c r="X20" i="23"/>
  <c r="AF21" i="7"/>
  <c r="AA11" i="8"/>
  <c r="AA14" i="8"/>
  <c r="Q7" i="12"/>
  <c r="Q10" i="12"/>
  <c r="Q13" i="12"/>
  <c r="Q16" i="12"/>
  <c r="Q19" i="12"/>
  <c r="Q22" i="12"/>
  <c r="Q25" i="12"/>
  <c r="J21" i="13"/>
  <c r="AA17" i="15"/>
  <c r="W29" i="16"/>
  <c r="G30" i="16" s="1"/>
  <c r="AI25" i="20"/>
  <c r="AE30" i="20"/>
  <c r="AC31" i="21"/>
  <c r="L31" i="21" s="1"/>
  <c r="AA40" i="21"/>
  <c r="AD40" i="22"/>
  <c r="P15" i="6"/>
  <c r="P7" i="7"/>
  <c r="X16" i="8"/>
  <c r="Q10" i="13"/>
  <c r="Y29" i="16"/>
  <c r="I30" i="16" s="1"/>
  <c r="AC30" i="16"/>
  <c r="AA31" i="16"/>
  <c r="K32" i="16" s="1"/>
  <c r="U35" i="16"/>
  <c r="E39" i="16" s="1"/>
  <c r="AF56" i="16"/>
  <c r="U15" i="17"/>
  <c r="W27" i="20"/>
  <c r="P29" i="21"/>
  <c r="AC43" i="21"/>
  <c r="AC40" i="21"/>
  <c r="D14" i="6"/>
  <c r="G8" i="7"/>
  <c r="P13" i="7"/>
  <c r="I9" i="8"/>
  <c r="E13" i="8"/>
  <c r="J12" i="13"/>
  <c r="Q22" i="13"/>
  <c r="F9" i="15"/>
  <c r="Y17" i="15"/>
  <c r="AD17" i="15"/>
  <c r="AC31" i="16"/>
  <c r="W36" i="16"/>
  <c r="G40" i="16" s="1"/>
  <c r="T57" i="16"/>
  <c r="X27" i="20"/>
  <c r="Y27" i="20"/>
  <c r="Z30" i="20"/>
  <c r="N14" i="21"/>
  <c r="AD43" i="21"/>
  <c r="AE43" i="21"/>
  <c r="S16" i="8"/>
  <c r="Q14" i="12"/>
  <c r="Y35" i="16"/>
  <c r="I39" i="16" s="1"/>
  <c r="Y36" i="16"/>
  <c r="I40" i="16" s="1"/>
  <c r="Y31" i="21"/>
  <c r="H31" i="21" s="1"/>
  <c r="X6" i="5"/>
  <c r="F6" i="5"/>
  <c r="AG25" i="6"/>
  <c r="I3" i="8"/>
  <c r="AL27" i="11"/>
  <c r="I24" i="11"/>
  <c r="E6" i="5"/>
  <c r="AG29" i="6"/>
  <c r="P13" i="6"/>
  <c r="N14" i="6"/>
  <c r="AE30" i="6"/>
  <c r="AF58" i="16"/>
  <c r="AE58" i="16"/>
  <c r="U16" i="8"/>
  <c r="Q12" i="12"/>
  <c r="Q24" i="12"/>
  <c r="U17" i="15"/>
  <c r="AB56" i="16"/>
  <c r="Q17" i="12"/>
  <c r="M30" i="16"/>
  <c r="AC15" i="19"/>
  <c r="K9" i="19"/>
  <c r="Z30" i="6"/>
  <c r="AA9" i="8"/>
  <c r="Y14" i="8"/>
  <c r="W16" i="8"/>
  <c r="AC35" i="16"/>
  <c r="M39" i="16" s="1"/>
  <c r="AD36" i="16"/>
  <c r="N40" i="16" s="1"/>
  <c r="AE56" i="16"/>
  <c r="AD57" i="16"/>
  <c r="AA12" i="8"/>
  <c r="I9" i="15"/>
  <c r="AI28" i="15"/>
  <c r="M15" i="19"/>
  <c r="M16" i="8"/>
  <c r="Q8" i="12"/>
  <c r="Q20" i="12"/>
  <c r="J22" i="13"/>
  <c r="AF15" i="19"/>
  <c r="N9" i="19"/>
  <c r="I12" i="19"/>
  <c r="AA15" i="19"/>
  <c r="AC30" i="6"/>
  <c r="G10" i="8"/>
  <c r="S10" i="8"/>
  <c r="AF31" i="16"/>
  <c r="P32" i="16" s="1"/>
  <c r="T35" i="16"/>
  <c r="U36" i="16"/>
  <c r="E40" i="16" s="1"/>
  <c r="AF44" i="16"/>
  <c r="AE45" i="16"/>
  <c r="U57" i="16"/>
  <c r="O13" i="6"/>
  <c r="R16" i="13"/>
  <c r="AF45" i="16"/>
  <c r="V56" i="16"/>
  <c r="AH9" i="19"/>
  <c r="P9" i="19" s="1"/>
  <c r="Q11" i="12"/>
  <c r="Q23" i="12"/>
  <c r="J15" i="13"/>
  <c r="W57" i="16"/>
  <c r="E9" i="19"/>
  <c r="W15" i="19"/>
  <c r="AI9" i="19"/>
  <c r="Q9" i="19" s="1"/>
  <c r="G3" i="8"/>
  <c r="Q17" i="13"/>
  <c r="X29" i="16"/>
  <c r="H30" i="16" s="1"/>
  <c r="W30" i="16"/>
  <c r="G31" i="16" s="1"/>
  <c r="W35" i="16"/>
  <c r="G39" i="16" s="1"/>
  <c r="X36" i="16"/>
  <c r="H40" i="16" s="1"/>
  <c r="G24" i="11"/>
  <c r="Y56" i="16"/>
  <c r="AA58" i="16"/>
  <c r="O9" i="7"/>
  <c r="Z36" i="16"/>
  <c r="J40" i="16" s="1"/>
  <c r="AI45" i="16"/>
  <c r="Z57" i="16"/>
  <c r="H9" i="19"/>
  <c r="Z15" i="19"/>
  <c r="AG15" i="19"/>
  <c r="AH12" i="19"/>
  <c r="P12" i="19" s="1"/>
  <c r="O12" i="19"/>
  <c r="W24" i="20"/>
  <c r="AI23" i="20"/>
  <c r="AA29" i="16"/>
  <c r="K30" i="16" s="1"/>
  <c r="Z30" i="16"/>
  <c r="J31" i="16" s="1"/>
  <c r="Z35" i="16"/>
  <c r="J39" i="16" s="1"/>
  <c r="AA36" i="16"/>
  <c r="K40" i="16" s="1"/>
  <c r="AI12" i="19"/>
  <c r="Q12" i="19" s="1"/>
  <c r="O15" i="20"/>
  <c r="AF24" i="20"/>
  <c r="AH25" i="20"/>
  <c r="AI26" i="20"/>
  <c r="N33" i="20"/>
  <c r="G13" i="21"/>
  <c r="G14" i="21"/>
  <c r="Y15" i="21"/>
  <c r="H15" i="21" s="1"/>
  <c r="H29" i="21"/>
  <c r="F30" i="21"/>
  <c r="AH30" i="21"/>
  <c r="Q30" i="21" s="1"/>
  <c r="AF31" i="21"/>
  <c r="O31" i="21" s="1"/>
  <c r="AB45" i="21"/>
  <c r="F14" i="22"/>
  <c r="X15" i="19"/>
  <c r="O33" i="20"/>
  <c r="Z15" i="21"/>
  <c r="I15" i="21" s="1"/>
  <c r="G30" i="21"/>
  <c r="AI30" i="21"/>
  <c r="R30" i="21" s="1"/>
  <c r="AG31" i="21"/>
  <c r="P31" i="21" s="1"/>
  <c r="AA44" i="21"/>
  <c r="AC45" i="21"/>
  <c r="G14" i="22"/>
  <c r="AA15" i="21"/>
  <c r="J15" i="21" s="1"/>
  <c r="Y40" i="21"/>
  <c r="AD45" i="21"/>
  <c r="AB40" i="22"/>
  <c r="M9" i="21"/>
  <c r="J14" i="21"/>
  <c r="K29" i="21"/>
  <c r="I30" i="21"/>
  <c r="AE45" i="21"/>
  <c r="AE46" i="21" s="1"/>
  <c r="I14" i="22"/>
  <c r="AH37" i="20"/>
  <c r="Q33" i="20" s="1"/>
  <c r="AD44" i="21"/>
  <c r="AF45" i="21"/>
  <c r="AD15" i="21"/>
  <c r="M15" i="21" s="1"/>
  <c r="N29" i="21"/>
  <c r="L30" i="21"/>
  <c r="AF44" i="21"/>
  <c r="T40" i="22"/>
  <c r="AF15" i="21"/>
  <c r="O15" i="21" s="1"/>
  <c r="W45" i="21"/>
  <c r="O13" i="21"/>
  <c r="AH14" i="21"/>
  <c r="Q14" i="21" s="1"/>
  <c r="AG15" i="21"/>
  <c r="P15" i="21" s="1"/>
  <c r="X45" i="21"/>
  <c r="AI28" i="20"/>
  <c r="P14" i="21"/>
  <c r="AI14" i="21"/>
  <c r="R14" i="21" s="1"/>
  <c r="F29" i="21"/>
  <c r="AH22" i="20"/>
  <c r="AH26" i="20"/>
  <c r="AG27" i="20"/>
  <c r="AH28" i="20"/>
  <c r="AH29" i="20"/>
  <c r="AG30" i="20"/>
  <c r="P33" i="20"/>
  <c r="AG24" i="20"/>
  <c r="P13" i="21"/>
  <c r="AE34" i="16"/>
  <c r="O38" i="16" s="1"/>
  <c r="AI37" i="20"/>
  <c r="R33" i="20" s="1"/>
  <c r="AG45" i="21"/>
  <c r="X46" i="21" l="1"/>
  <c r="AB46" i="21"/>
  <c r="AF29" i="16"/>
  <c r="P30" i="16" s="1"/>
  <c r="AF30" i="16"/>
  <c r="P31" i="16" s="1"/>
  <c r="Y21" i="19"/>
  <c r="J15" i="19"/>
  <c r="AF34" i="16"/>
  <c r="P38" i="16" s="1"/>
  <c r="W46" i="21"/>
  <c r="X5" i="6"/>
  <c r="G5" i="6" s="1"/>
  <c r="F5" i="6"/>
  <c r="R22" i="13"/>
  <c r="AI29" i="15" s="1"/>
  <c r="B24" i="12"/>
  <c r="B10" i="12"/>
  <c r="AC46" i="21"/>
  <c r="B7" i="12"/>
  <c r="J7" i="12" s="1"/>
  <c r="B9" i="12"/>
  <c r="C9" i="12" s="1"/>
  <c r="R10" i="13"/>
  <c r="R8" i="13"/>
  <c r="B11" i="12"/>
  <c r="D11" i="12" s="1"/>
  <c r="AB28" i="11"/>
  <c r="X21" i="6"/>
  <c r="AE35" i="16"/>
  <c r="O39" i="16" s="1"/>
  <c r="W21" i="6"/>
  <c r="AA46" i="21"/>
  <c r="B16" i="12"/>
  <c r="G16" i="12" s="1"/>
  <c r="R20" i="13"/>
  <c r="R15" i="13"/>
  <c r="M31" i="16"/>
  <c r="AE30" i="16"/>
  <c r="O31" i="16" s="1"/>
  <c r="I6" i="11"/>
  <c r="AK6" i="11"/>
  <c r="B22" i="12"/>
  <c r="J22" i="12" s="1"/>
  <c r="M32" i="16"/>
  <c r="AE31" i="16"/>
  <c r="O32" i="16" s="1"/>
  <c r="AD21" i="19"/>
  <c r="X5" i="7"/>
  <c r="W18" i="7"/>
  <c r="G5" i="7"/>
  <c r="Y46" i="21"/>
  <c r="R21" i="13"/>
  <c r="R17" i="13"/>
  <c r="AA21" i="19"/>
  <c r="I15" i="19"/>
  <c r="B17" i="12"/>
  <c r="B21" i="12"/>
  <c r="K24" i="11"/>
  <c r="AN27" i="11"/>
  <c r="Z46" i="21"/>
  <c r="B14" i="12"/>
  <c r="K3" i="8"/>
  <c r="E15" i="19"/>
  <c r="W21" i="19"/>
  <c r="AF21" i="19"/>
  <c r="N15" i="19"/>
  <c r="K15" i="19"/>
  <c r="AC21" i="19"/>
  <c r="B15" i="12"/>
  <c r="C15" i="12" s="1"/>
  <c r="B19" i="12"/>
  <c r="AG46" i="21"/>
  <c r="R19" i="13"/>
  <c r="AE36" i="16"/>
  <c r="O40" i="16" s="1"/>
  <c r="AF36" i="16"/>
  <c r="P40" i="16" s="1"/>
  <c r="B8" i="12"/>
  <c r="O14" i="6"/>
  <c r="AF30" i="6"/>
  <c r="B20" i="12"/>
  <c r="P14" i="6"/>
  <c r="AG30" i="6"/>
  <c r="X21" i="19"/>
  <c r="F15" i="19"/>
  <c r="O15" i="19"/>
  <c r="AG21" i="19"/>
  <c r="AE13" i="17"/>
  <c r="AI27" i="15"/>
  <c r="R12" i="13"/>
  <c r="B13" i="12"/>
  <c r="AF57" i="16"/>
  <c r="AE57" i="16"/>
  <c r="AD46" i="21"/>
  <c r="H15" i="19"/>
  <c r="Z21" i="19"/>
  <c r="AF35" i="16"/>
  <c r="P39" i="16" s="1"/>
  <c r="D39" i="16"/>
  <c r="B18" i="12"/>
  <c r="B23" i="12"/>
  <c r="AA16" i="8"/>
  <c r="Y16" i="8"/>
  <c r="AF46" i="21"/>
  <c r="B12" i="12"/>
  <c r="Y6" i="5"/>
  <c r="G6" i="5"/>
  <c r="X35" i="6" l="1"/>
  <c r="I11" i="12"/>
  <c r="Y5" i="6"/>
  <c r="Z5" i="6" s="1"/>
  <c r="F11" i="12"/>
  <c r="C11" i="12"/>
  <c r="G11" i="12"/>
  <c r="C7" i="12"/>
  <c r="E7" i="12"/>
  <c r="G7" i="12"/>
  <c r="F7" i="12"/>
  <c r="I7" i="12"/>
  <c r="D7" i="12"/>
  <c r="J11" i="12"/>
  <c r="K11" i="12" s="1"/>
  <c r="E11" i="12"/>
  <c r="D16" i="12"/>
  <c r="J16" i="12"/>
  <c r="M16" i="12" s="1"/>
  <c r="I16" i="12"/>
  <c r="C16" i="12"/>
  <c r="E16" i="12"/>
  <c r="H5" i="6"/>
  <c r="F16" i="12"/>
  <c r="H16" i="12" s="1"/>
  <c r="G22" i="12"/>
  <c r="M22" i="12" s="1"/>
  <c r="H11" i="12"/>
  <c r="C22" i="12"/>
  <c r="Y35" i="6"/>
  <c r="I22" i="12"/>
  <c r="K22" i="12" s="1"/>
  <c r="Y21" i="6"/>
  <c r="E22" i="12"/>
  <c r="AL6" i="11"/>
  <c r="K6" i="11"/>
  <c r="D22" i="12"/>
  <c r="F22" i="12"/>
  <c r="X18" i="7"/>
  <c r="Y5" i="7"/>
  <c r="H5" i="7"/>
  <c r="J10" i="12"/>
  <c r="I10" i="12"/>
  <c r="G10" i="12"/>
  <c r="F10" i="12"/>
  <c r="E10" i="12"/>
  <c r="D10" i="12"/>
  <c r="C10" i="12"/>
  <c r="J19" i="12"/>
  <c r="I19" i="12"/>
  <c r="G19" i="12"/>
  <c r="F19" i="12"/>
  <c r="E19" i="12"/>
  <c r="D19" i="12"/>
  <c r="C19" i="12"/>
  <c r="J15" i="12"/>
  <c r="I15" i="12"/>
  <c r="G15" i="12"/>
  <c r="F15" i="12"/>
  <c r="E15" i="12"/>
  <c r="D15" i="12"/>
  <c r="Z6" i="5"/>
  <c r="H6" i="5"/>
  <c r="M3" i="8"/>
  <c r="D9" i="12"/>
  <c r="J9" i="12"/>
  <c r="I9" i="12"/>
  <c r="G9" i="12"/>
  <c r="F9" i="12"/>
  <c r="E9" i="12"/>
  <c r="J12" i="12"/>
  <c r="I12" i="12"/>
  <c r="G12" i="12"/>
  <c r="F12" i="12"/>
  <c r="E12" i="12"/>
  <c r="D12" i="12"/>
  <c r="C12" i="12"/>
  <c r="I20" i="12"/>
  <c r="G20" i="12"/>
  <c r="F20" i="12"/>
  <c r="E20" i="12"/>
  <c r="D20" i="12"/>
  <c r="C20" i="12"/>
  <c r="J20" i="12"/>
  <c r="I5" i="6"/>
  <c r="Z21" i="6"/>
  <c r="AA5" i="6"/>
  <c r="Z35" i="6"/>
  <c r="J24" i="12"/>
  <c r="I24" i="12"/>
  <c r="G24" i="12"/>
  <c r="F24" i="12"/>
  <c r="E24" i="12"/>
  <c r="D24" i="12"/>
  <c r="C24" i="12"/>
  <c r="G18" i="12"/>
  <c r="F18" i="12"/>
  <c r="E18" i="12"/>
  <c r="D18" i="12"/>
  <c r="C18" i="12"/>
  <c r="J18" i="12"/>
  <c r="I18" i="12"/>
  <c r="G13" i="12"/>
  <c r="F13" i="12"/>
  <c r="E13" i="12"/>
  <c r="D13" i="12"/>
  <c r="C13" i="12"/>
  <c r="J13" i="12"/>
  <c r="I13" i="12"/>
  <c r="I8" i="12"/>
  <c r="G8" i="12"/>
  <c r="F8" i="12"/>
  <c r="E8" i="12"/>
  <c r="D8" i="12"/>
  <c r="C8" i="12"/>
  <c r="J8" i="12"/>
  <c r="AP27" i="11"/>
  <c r="M24" i="11"/>
  <c r="D21" i="12"/>
  <c r="C21" i="12"/>
  <c r="J21" i="12"/>
  <c r="I21" i="12"/>
  <c r="G21" i="12"/>
  <c r="F21" i="12"/>
  <c r="E21" i="12"/>
  <c r="J17" i="12"/>
  <c r="I17" i="12"/>
  <c r="G17" i="12"/>
  <c r="F17" i="12"/>
  <c r="E17" i="12"/>
  <c r="D17" i="12"/>
  <c r="C17" i="12"/>
  <c r="M7" i="12"/>
  <c r="F23" i="12"/>
  <c r="E23" i="12"/>
  <c r="D23" i="12"/>
  <c r="C23" i="12"/>
  <c r="J23" i="12"/>
  <c r="I23" i="12"/>
  <c r="G23" i="12"/>
  <c r="C14" i="12"/>
  <c r="J14" i="12"/>
  <c r="I14" i="12"/>
  <c r="G14" i="12"/>
  <c r="F14" i="12"/>
  <c r="E14" i="12"/>
  <c r="D14" i="12"/>
  <c r="H7" i="12" l="1"/>
  <c r="L11" i="12"/>
  <c r="M11" i="12"/>
  <c r="L7" i="12"/>
  <c r="K16" i="12"/>
  <c r="K7" i="12"/>
  <c r="H24" i="12"/>
  <c r="L16" i="12"/>
  <c r="D25" i="12"/>
  <c r="H8" i="12"/>
  <c r="H19" i="12"/>
  <c r="H22" i="12"/>
  <c r="L22" i="12"/>
  <c r="H15" i="12"/>
  <c r="M13" i="12"/>
  <c r="M20" i="12"/>
  <c r="M19" i="12"/>
  <c r="H21" i="12"/>
  <c r="E25" i="12"/>
  <c r="M21" i="12"/>
  <c r="M18" i="12"/>
  <c r="Y18" i="7"/>
  <c r="I5" i="7"/>
  <c r="Z5" i="7"/>
  <c r="H10" i="12"/>
  <c r="AM6" i="11"/>
  <c r="M6" i="11"/>
  <c r="H14" i="12"/>
  <c r="G25" i="12"/>
  <c r="M17" i="12"/>
  <c r="L18" i="12"/>
  <c r="K18" i="12"/>
  <c r="L24" i="12"/>
  <c r="K24" i="12"/>
  <c r="L20" i="12"/>
  <c r="K20" i="12"/>
  <c r="M24" i="12"/>
  <c r="L9" i="12"/>
  <c r="K9" i="12"/>
  <c r="L23" i="12"/>
  <c r="K23" i="12"/>
  <c r="L8" i="12"/>
  <c r="K8" i="12"/>
  <c r="M9" i="12"/>
  <c r="M23" i="12"/>
  <c r="L14" i="12"/>
  <c r="K14" i="12"/>
  <c r="H23" i="12"/>
  <c r="I25" i="12"/>
  <c r="AA21" i="6"/>
  <c r="AB5" i="6"/>
  <c r="AA35" i="6"/>
  <c r="J5" i="6"/>
  <c r="M14" i="12"/>
  <c r="F25" i="12"/>
  <c r="L15" i="12"/>
  <c r="K15" i="12"/>
  <c r="J25" i="12"/>
  <c r="L13" i="12"/>
  <c r="K13" i="12"/>
  <c r="H18" i="12"/>
  <c r="O3" i="8"/>
  <c r="M15" i="12"/>
  <c r="L17" i="12"/>
  <c r="K17" i="12"/>
  <c r="AR27" i="11"/>
  <c r="O24" i="11"/>
  <c r="H12" i="12"/>
  <c r="K10" i="12"/>
  <c r="L10" i="12"/>
  <c r="M10" i="12"/>
  <c r="L21" i="12"/>
  <c r="K21" i="12"/>
  <c r="M8" i="12"/>
  <c r="L12" i="12"/>
  <c r="K12" i="12"/>
  <c r="AA6" i="5"/>
  <c r="I6" i="5"/>
  <c r="H17" i="12"/>
  <c r="M12" i="12"/>
  <c r="H13" i="12"/>
  <c r="H20" i="12"/>
  <c r="H9" i="12"/>
  <c r="L19" i="12"/>
  <c r="K19" i="12"/>
  <c r="H25" i="12" l="1"/>
  <c r="K25" i="12"/>
  <c r="M25" i="12"/>
  <c r="AN6" i="11"/>
  <c r="O6" i="11"/>
  <c r="AA5" i="7"/>
  <c r="Z18" i="7"/>
  <c r="J5" i="7"/>
  <c r="AB35" i="6"/>
  <c r="K5" i="6"/>
  <c r="AB21" i="6"/>
  <c r="AC5" i="6"/>
  <c r="Q3" i="8"/>
  <c r="AK20" i="18"/>
  <c r="AL20" i="18" s="1"/>
  <c r="L25" i="12"/>
  <c r="AB6" i="5"/>
  <c r="J6" i="5"/>
  <c r="AT27" i="11"/>
  <c r="Q24" i="11"/>
  <c r="AA18" i="7" l="1"/>
  <c r="AB5" i="7"/>
  <c r="K5" i="7"/>
  <c r="AO6" i="11"/>
  <c r="Q6" i="11"/>
  <c r="AC6" i="5"/>
  <c r="K6" i="5"/>
  <c r="S3" i="8"/>
  <c r="AC35" i="6"/>
  <c r="L5" i="6"/>
  <c r="AC21" i="6"/>
  <c r="AD5" i="6"/>
  <c r="AV27" i="11"/>
  <c r="S24" i="11"/>
  <c r="AB18" i="7" l="1"/>
  <c r="AC5" i="7"/>
  <c r="L5" i="7"/>
  <c r="AP6" i="11"/>
  <c r="S6" i="11"/>
  <c r="AX27" i="11"/>
  <c r="U24" i="11"/>
  <c r="AD35" i="6"/>
  <c r="M5" i="6"/>
  <c r="AD21" i="6"/>
  <c r="AE5" i="6"/>
  <c r="U3" i="8"/>
  <c r="AD6" i="5"/>
  <c r="L6" i="5"/>
  <c r="AQ6" i="11" l="1"/>
  <c r="U6" i="11"/>
  <c r="AC18" i="7"/>
  <c r="M5" i="7"/>
  <c r="AD5" i="7"/>
  <c r="AE6" i="5"/>
  <c r="M6" i="5"/>
  <c r="W3" i="8"/>
  <c r="Y3" i="8"/>
  <c r="AE35" i="6"/>
  <c r="N5" i="6"/>
  <c r="AE21" i="6"/>
  <c r="W24" i="11"/>
  <c r="AZ27" i="11"/>
  <c r="Y24" i="11" s="1"/>
  <c r="N5" i="7" l="1"/>
  <c r="AD18" i="7"/>
  <c r="W6" i="11"/>
  <c r="AR6" i="11"/>
  <c r="Y6" i="11" s="1"/>
  <c r="AF6" i="5"/>
  <c r="O6" i="5" s="1"/>
  <c r="N6" i="5"/>
  <c r="AG32" i="11"/>
  <c r="AF42" i="11" s="1"/>
  <c r="BC32" i="11" l="1"/>
  <c r="AB29" i="11" s="1"/>
  <c r="F29" i="11"/>
  <c r="E30" i="11"/>
  <c r="BB33" i="11"/>
  <c r="AA30" i="11" s="1"/>
  <c r="AG33" i="11"/>
  <c r="AI32" i="11"/>
  <c r="G30" i="11"/>
  <c r="H29" i="11" l="1"/>
  <c r="AG42" i="11"/>
  <c r="BC33" i="11"/>
  <c r="AB30" i="11" s="1"/>
  <c r="F30" i="11"/>
  <c r="AI33" i="11"/>
  <c r="AK32" i="11"/>
  <c r="AK33" i="11"/>
  <c r="J29" i="11" l="1"/>
  <c r="AH42" i="11"/>
  <c r="I30" i="11"/>
  <c r="AM32" i="11"/>
  <c r="K30" i="11"/>
  <c r="L29" i="11" l="1"/>
  <c r="AI42" i="11"/>
  <c r="AM33" i="11"/>
  <c r="AO32" i="11"/>
  <c r="AO33" i="11"/>
  <c r="N29" i="11" l="1"/>
  <c r="AJ42" i="11"/>
  <c r="M30" i="11"/>
  <c r="AQ32" i="11"/>
  <c r="AQ33" i="11"/>
  <c r="P30" i="11" s="1"/>
  <c r="P29" i="11" l="1"/>
  <c r="AK42" i="11"/>
  <c r="O30" i="11"/>
  <c r="AS32" i="11"/>
  <c r="Q30" i="11"/>
  <c r="R29" i="11" l="1"/>
  <c r="AL42" i="11"/>
  <c r="AS33" i="11"/>
  <c r="R30" i="11" s="1"/>
  <c r="AU32" i="11"/>
  <c r="S30" i="11"/>
  <c r="T29" i="11" l="1"/>
  <c r="AM42" i="11"/>
  <c r="AU33" i="11"/>
  <c r="T30" i="11" s="1"/>
  <c r="AW32" i="11"/>
  <c r="U30" i="11"/>
  <c r="V29" i="11" l="1"/>
  <c r="AN42" i="11"/>
  <c r="AW33" i="11"/>
</calcChain>
</file>

<file path=xl/comments1.xml><?xml version="1.0" encoding="utf-8"?>
<comments xmlns="http://schemas.openxmlformats.org/spreadsheetml/2006/main">
  <authors>
    <author>堀田 真未</author>
    <author>井上 嵩大</author>
    <author>牧野　広樹</author>
  </authors>
  <commentList>
    <comment ref="V17" authorId="0" shapeId="0">
      <text>
        <r>
          <rPr>
            <b/>
            <sz val="9"/>
            <color indexed="81"/>
            <rFont val="MS P ゴシック"/>
            <family val="3"/>
            <charset val="128"/>
          </rPr>
          <t>連結試算表で以下の勘定科目を足す
短期借入金+一年返済長期借入金+短期ﾘｰｽ債務+長期借入金+長期ﾘｰｽ債務
\\ussnas\財務部\50_開示・IR資料関連\00_開示資料\指標
指標2(本決算)シート
有利子負債計E26セルと一致</t>
        </r>
      </text>
    </comment>
    <comment ref="V19" authorId="0" shapeId="0">
      <text>
        <r>
          <rPr>
            <b/>
            <sz val="9"/>
            <color indexed="81"/>
            <rFont val="MS P ゴシック"/>
            <family val="3"/>
            <charset val="128"/>
          </rPr>
          <t>連結試算表で以下の勘定科目を足す
株主資本合計+その他の包括利益累計額合計</t>
        </r>
      </text>
    </comment>
    <comment ref="V21" authorId="1" shapeId="0">
      <text>
        <r>
          <rPr>
            <sz val="9"/>
            <color indexed="81"/>
            <rFont val="MS P ゴシック"/>
            <family val="3"/>
            <charset val="128"/>
          </rPr>
          <t>入力するとき、小数点第三位以下切り捨て
連結の確定フォルダ(チェック済)
D6100AL_yy03EPS
1株利益シートのE6セル
一株当たり当期純利益
※希薄化効果前</t>
        </r>
      </text>
    </comment>
    <comment ref="V22" authorId="2" shapeId="0">
      <text>
        <r>
          <rPr>
            <b/>
            <sz val="9"/>
            <color indexed="81"/>
            <rFont val="MS P ゴシック"/>
            <family val="3"/>
            <charset val="128"/>
          </rPr>
          <t>牧野　広樹:</t>
        </r>
        <r>
          <rPr>
            <sz val="9"/>
            <color indexed="81"/>
            <rFont val="MS P ゴシック"/>
            <family val="3"/>
            <charset val="128"/>
          </rPr>
          <t xml:space="preserve">
\\ussnas\財務部\50_開示・IR資料関連\00_開示資料\指標ｓ
指標3(配当)シート
A9100AL_2003開示用指標.xlsm</t>
        </r>
      </text>
    </comment>
    <comment ref="U23" authorId="0" shapeId="0">
      <text>
        <r>
          <rPr>
            <b/>
            <sz val="9"/>
            <color indexed="81"/>
            <rFont val="MS P ゴシック"/>
            <family val="3"/>
            <charset val="128"/>
          </rPr>
          <t>\\ussnas\財務部\50_開示・IR資料関連\00_開示資料\指標
A9100AL_2003開示用指標.xlsm</t>
        </r>
      </text>
    </comment>
    <comment ref="V25" authorId="2" shapeId="0">
      <text>
        <r>
          <rPr>
            <b/>
            <sz val="9"/>
            <color indexed="81"/>
            <rFont val="MS P ゴシック"/>
            <family val="3"/>
            <charset val="128"/>
          </rPr>
          <t>牧野　広樹:</t>
        </r>
        <r>
          <rPr>
            <sz val="9"/>
            <color indexed="81"/>
            <rFont val="MS P ゴシック"/>
            <family val="3"/>
            <charset val="128"/>
          </rPr>
          <t xml:space="preserve">
指標2(本決算)シート
自己資本利益率E55セル
計算式から正式な数値を算出</t>
        </r>
      </text>
    </comment>
    <comment ref="V26" authorId="2" shapeId="0">
      <text>
        <r>
          <rPr>
            <b/>
            <sz val="9"/>
            <color indexed="81"/>
            <rFont val="MS P ゴシック"/>
            <family val="3"/>
            <charset val="128"/>
          </rPr>
          <t>牧野　広樹:</t>
        </r>
        <r>
          <rPr>
            <sz val="9"/>
            <color indexed="81"/>
            <rFont val="MS P ゴシック"/>
            <family val="3"/>
            <charset val="128"/>
          </rPr>
          <t xml:space="preserve">
指標2(本決算)シート
総資産経常利益率E61セル
計算式から正式な数値を算出</t>
        </r>
      </text>
    </comment>
    <comment ref="V27" authorId="2" shapeId="0">
      <text>
        <r>
          <rPr>
            <b/>
            <sz val="9"/>
            <color indexed="81"/>
            <rFont val="MS P ゴシック"/>
            <family val="3"/>
            <charset val="128"/>
          </rPr>
          <t>牧野　広樹:</t>
        </r>
        <r>
          <rPr>
            <sz val="9"/>
            <color indexed="81"/>
            <rFont val="MS P ゴシック"/>
            <family val="3"/>
            <charset val="128"/>
          </rPr>
          <t xml:space="preserve">
指標３(配当)シート
配当性向E11セル
数式から正式な数値を算出</t>
        </r>
      </text>
    </comment>
    <comment ref="V28" authorId="2" shapeId="0">
      <text>
        <r>
          <rPr>
            <b/>
            <sz val="9"/>
            <color indexed="81"/>
            <rFont val="MS P ゴシック"/>
            <family val="3"/>
            <charset val="128"/>
          </rPr>
          <t>牧野　広樹:</t>
        </r>
        <r>
          <rPr>
            <sz val="9"/>
            <color indexed="81"/>
            <rFont val="MS P ゴシック"/>
            <family val="3"/>
            <charset val="128"/>
          </rPr>
          <t xml:space="preserve">
指標1(四半期)シート
自己資本比率E33セル
正式な数値を算出</t>
        </r>
      </text>
    </comment>
    <comment ref="V29" authorId="0" shapeId="0">
      <text>
        <r>
          <rPr>
            <sz val="9"/>
            <color indexed="81"/>
            <rFont val="MS P ゴシック"/>
            <family val="3"/>
            <charset val="128"/>
          </rPr>
          <t>連結の確定フォルダ(チェック済)
D6100AL_yy03EPS
Diluted EPSシート
発行済株式数-自己株式数-自己株式（信託）</t>
        </r>
      </text>
    </comment>
    <comment ref="V30" authorId="0" shapeId="0">
      <text>
        <r>
          <rPr>
            <sz val="9"/>
            <color indexed="81"/>
            <rFont val="MS P ゴシック"/>
            <family val="3"/>
            <charset val="128"/>
          </rPr>
          <t>連結の確定フォルダ(チェック済)
D6100AL_yy03EPS
Diluted EPSシート
自己株式+自己株式（信託）</t>
        </r>
      </text>
    </comment>
    <comment ref="V31" authorId="0" shapeId="0">
      <text>
        <r>
          <rPr>
            <b/>
            <sz val="9"/>
            <color indexed="81"/>
            <rFont val="MS P ゴシック"/>
            <family val="3"/>
            <charset val="128"/>
          </rPr>
          <t>\\ussnas\財務部\50_開示・IR資料関連\00_開示資料\会員数
D9200AL_yy03会員数</t>
        </r>
      </text>
    </comment>
    <comment ref="V32" authorId="2" shapeId="0">
      <text>
        <r>
          <rPr>
            <b/>
            <sz val="9"/>
            <color indexed="81"/>
            <rFont val="MS P ゴシック"/>
            <family val="3"/>
            <charset val="128"/>
          </rPr>
          <t>牧野　広樹:</t>
        </r>
        <r>
          <rPr>
            <sz val="9"/>
            <color indexed="81"/>
            <rFont val="MS P ゴシック"/>
            <family val="3"/>
            <charset val="128"/>
          </rPr>
          <t xml:space="preserve">
\\ussnas\財務部\50_開示・IR資料関連\00_開示資料\会員数
D9200AL_yy03会員数</t>
        </r>
      </text>
    </comment>
    <comment ref="V33" authorId="2" shapeId="0">
      <text>
        <r>
          <rPr>
            <b/>
            <sz val="9"/>
            <color indexed="81"/>
            <rFont val="MS P ゴシック"/>
            <family val="3"/>
            <charset val="128"/>
          </rPr>
          <t>牧野　広樹:</t>
        </r>
        <r>
          <rPr>
            <sz val="9"/>
            <color indexed="81"/>
            <rFont val="MS P ゴシック"/>
            <family val="3"/>
            <charset val="128"/>
          </rPr>
          <t xml:space="preserve">
\\ussnas\財務部\50_開示・IR資料関連\00_開示資料\会員数
D9200AL_yy03会員数</t>
        </r>
      </text>
    </comment>
    <comment ref="V34" authorId="2" shapeId="0">
      <text>
        <r>
          <rPr>
            <b/>
            <sz val="9"/>
            <color indexed="81"/>
            <rFont val="MS P ゴシック"/>
            <family val="3"/>
            <charset val="128"/>
          </rPr>
          <t>牧野　広樹:</t>
        </r>
        <r>
          <rPr>
            <sz val="9"/>
            <color indexed="81"/>
            <rFont val="MS P ゴシック"/>
            <family val="3"/>
            <charset val="128"/>
          </rPr>
          <t xml:space="preserve">
\\ussnas\財務部\50_開示・IR資料関連\00_開示資料\会員数
D9200AL_yy03会員数
会場数シート</t>
        </r>
      </text>
    </comment>
    <comment ref="V35" authorId="0" shapeId="0">
      <text>
        <r>
          <rPr>
            <b/>
            <sz val="9"/>
            <color indexed="81"/>
            <rFont val="MS P ゴシック"/>
            <family val="3"/>
            <charset val="128"/>
          </rPr>
          <t>\\ussnas\財務部\50_開示・IR資料関連\00_開示資料\管理部
D9100AL_2003人員数表.xlsm</t>
        </r>
      </text>
    </comment>
  </commentList>
</comments>
</file>

<file path=xl/comments10.xml><?xml version="1.0" encoding="utf-8"?>
<comments xmlns="http://schemas.openxmlformats.org/spreadsheetml/2006/main">
  <authors>
    <author>牧野　広樹</author>
  </authors>
  <commentList>
    <comment ref="S21" authorId="0" shapeId="0">
      <text>
        <r>
          <rPr>
            <b/>
            <sz val="9"/>
            <color indexed="81"/>
            <rFont val="MS P ゴシック"/>
            <family val="3"/>
            <charset val="128"/>
          </rPr>
          <t>牧野　広樹:</t>
        </r>
        <r>
          <rPr>
            <sz val="9"/>
            <color indexed="81"/>
            <rFont val="MS P ゴシック"/>
            <family val="3"/>
            <charset val="128"/>
          </rPr>
          <t xml:space="preserve">
連結試算表の以下の科目を足す
法人税住民税及び事業税+法人税等調整額</t>
        </r>
      </text>
    </comment>
  </commentList>
</comments>
</file>

<file path=xl/comments11.xml><?xml version="1.0" encoding="utf-8"?>
<comments xmlns="http://schemas.openxmlformats.org/spreadsheetml/2006/main">
  <authors>
    <author>井上 嵩大</author>
    <author>牧野　広樹</author>
    <author>堀田 真未</author>
  </authors>
  <commentList>
    <comment ref="AC10" authorId="0" shapeId="0">
      <text>
        <r>
          <rPr>
            <b/>
            <sz val="9"/>
            <color indexed="81"/>
            <rFont val="MS P ゴシック"/>
            <family val="3"/>
            <charset val="128"/>
          </rPr>
          <t xml:space="preserve">受取手形及び売掛金+契約資産
</t>
        </r>
      </text>
    </comment>
    <comment ref="AC12" authorId="1" shapeId="0">
      <text>
        <r>
          <rPr>
            <b/>
            <sz val="9"/>
            <color indexed="81"/>
            <rFont val="MS P ゴシック"/>
            <family val="3"/>
            <charset val="128"/>
          </rPr>
          <t>牧野　広樹:</t>
        </r>
        <r>
          <rPr>
            <sz val="9"/>
            <color indexed="81"/>
            <rFont val="MS P ゴシック"/>
            <family val="3"/>
            <charset val="128"/>
          </rPr>
          <t xml:space="preserve">
連結試算表で以下の科目を足す
営業貸付金+有価証券+商品+製品+半製品+原材料+仕掛品+貯蔵品+前払費用+未収入金+その他の流動資産</t>
        </r>
      </text>
    </comment>
    <comment ref="AC17" authorId="1" shapeId="0">
      <text>
        <r>
          <rPr>
            <b/>
            <sz val="9"/>
            <color indexed="81"/>
            <rFont val="MS P ゴシック"/>
            <family val="3"/>
            <charset val="128"/>
          </rPr>
          <t>牧野　広樹:</t>
        </r>
        <r>
          <rPr>
            <sz val="9"/>
            <color indexed="81"/>
            <rFont val="MS P ゴシック"/>
            <family val="3"/>
            <charset val="128"/>
          </rPr>
          <t xml:space="preserve">
連結試算表で以下の科目を足す
機械装置+車両運搬具</t>
        </r>
      </text>
    </comment>
    <comment ref="AC20" authorId="1" shapeId="0">
      <text>
        <r>
          <rPr>
            <b/>
            <sz val="9"/>
            <color indexed="81"/>
            <rFont val="MS P ゴシック"/>
            <family val="3"/>
            <charset val="128"/>
          </rPr>
          <t>牧野　広樹:</t>
        </r>
        <r>
          <rPr>
            <sz val="9"/>
            <color indexed="81"/>
            <rFont val="MS P ゴシック"/>
            <family val="3"/>
            <charset val="128"/>
          </rPr>
          <t xml:space="preserve">
連結試算表で以下の科目を足す
上記以外
ﾘｰｽ資産(有形)+建設仮勘定</t>
        </r>
      </text>
    </comment>
    <comment ref="AC23" authorId="1" shapeId="0">
      <text>
        <r>
          <rPr>
            <b/>
            <sz val="9"/>
            <color indexed="81"/>
            <rFont val="MS P ゴシック"/>
            <family val="3"/>
            <charset val="128"/>
          </rPr>
          <t>牧野　広樹:</t>
        </r>
        <r>
          <rPr>
            <sz val="9"/>
            <color indexed="81"/>
            <rFont val="MS P ゴシック"/>
            <family val="3"/>
            <charset val="128"/>
          </rPr>
          <t xml:space="preserve">
連結試算表で以下の科目を足す
上記以外
ｿﾌﾄｳｪｱ仮勘定+顧客関連資産+その他の無形固定資産</t>
        </r>
      </text>
    </comment>
    <comment ref="AC29" authorId="1" shapeId="0">
      <text>
        <r>
          <rPr>
            <b/>
            <sz val="9"/>
            <color indexed="81"/>
            <rFont val="MS P ゴシック"/>
            <family val="3"/>
            <charset val="128"/>
          </rPr>
          <t>牧野　広樹:</t>
        </r>
        <r>
          <rPr>
            <sz val="9"/>
            <color indexed="81"/>
            <rFont val="MS P ゴシック"/>
            <family val="3"/>
            <charset val="128"/>
          </rPr>
          <t xml:space="preserve">
連結試算表で以下の科目を足す
長期貸付金+投資不動産+退職給付に係る資産+その他投資その他の資産</t>
        </r>
      </text>
    </comment>
    <comment ref="AC34" authorId="2" shapeId="0">
      <text>
        <r>
          <rPr>
            <b/>
            <sz val="9"/>
            <color indexed="81"/>
            <rFont val="MS P ゴシック"/>
            <family val="3"/>
            <charset val="128"/>
          </rPr>
          <t>短期借入金+一年返済長期借入金</t>
        </r>
      </text>
    </comment>
    <comment ref="AC37" authorId="1" shapeId="0">
      <text>
        <r>
          <rPr>
            <b/>
            <sz val="9"/>
            <color indexed="81"/>
            <rFont val="MS P ゴシック"/>
            <family val="3"/>
            <charset val="128"/>
          </rPr>
          <t>牧野　広樹:</t>
        </r>
        <r>
          <rPr>
            <sz val="9"/>
            <color indexed="81"/>
            <rFont val="MS P ゴシック"/>
            <family val="3"/>
            <charset val="128"/>
          </rPr>
          <t xml:space="preserve">
連結試算表で以下の科目を足す
上記以外</t>
        </r>
      </text>
    </comment>
    <comment ref="AC43" authorId="1" shapeId="0">
      <text>
        <r>
          <rPr>
            <b/>
            <sz val="9"/>
            <color indexed="81"/>
            <rFont val="MS P ゴシック"/>
            <family val="3"/>
            <charset val="128"/>
          </rPr>
          <t>牧野　広樹:</t>
        </r>
        <r>
          <rPr>
            <sz val="9"/>
            <color indexed="81"/>
            <rFont val="MS P ゴシック"/>
            <family val="3"/>
            <charset val="128"/>
          </rPr>
          <t xml:space="preserve">
上記以外</t>
        </r>
      </text>
    </comment>
  </commentList>
</comments>
</file>

<file path=xl/comments12.xml><?xml version="1.0" encoding="utf-8"?>
<comments xmlns="http://schemas.openxmlformats.org/spreadsheetml/2006/main">
  <authors>
    <author>井上 嵩大</author>
    <author>牧野　広樹</author>
  </authors>
  <commentList>
    <comment ref="V108" authorId="0" shapeId="0">
      <text>
        <r>
          <rPr>
            <b/>
            <sz val="9"/>
            <color indexed="81"/>
            <rFont val="MS P ゴシック"/>
            <family val="3"/>
            <charset val="128"/>
          </rPr>
          <t>売掛金の増加額+契約資産の増加額
2603～分離</t>
        </r>
      </text>
    </comment>
    <comment ref="V124" authorId="1" shapeId="0">
      <text>
        <r>
          <rPr>
            <b/>
            <sz val="9"/>
            <color indexed="81"/>
            <rFont val="MS P ゴシック"/>
            <family val="3"/>
            <charset val="128"/>
          </rPr>
          <t>牧野　広樹:</t>
        </r>
        <r>
          <rPr>
            <sz val="9"/>
            <color indexed="81"/>
            <rFont val="MS P ゴシック"/>
            <family val="3"/>
            <charset val="128"/>
          </rPr>
          <t xml:space="preserve">
不使用(重複？)</t>
        </r>
      </text>
    </comment>
  </commentList>
</comments>
</file>

<file path=xl/comments13.xml><?xml version="1.0" encoding="utf-8"?>
<comments xmlns="http://schemas.openxmlformats.org/spreadsheetml/2006/main">
  <authors>
    <author>牧野　広樹</author>
    <author>堀田 真未</author>
  </authors>
  <commentList>
    <comment ref="U7" authorId="0" shapeId="0">
      <text>
        <r>
          <rPr>
            <b/>
            <sz val="9"/>
            <color indexed="81"/>
            <rFont val="MS P ゴシック"/>
            <family val="3"/>
            <charset val="128"/>
          </rPr>
          <t>牧野　広樹:</t>
        </r>
        <r>
          <rPr>
            <sz val="9"/>
            <color indexed="81"/>
            <rFont val="MS P ゴシック"/>
            <family val="3"/>
            <charset val="128"/>
          </rPr>
          <t xml:space="preserve">
連結フォルダ
確定フォルダ(チェック済)
D2110AL_yy03グループ売上
グループ売上★シート
Q列～U列　6～22行
</t>
        </r>
      </text>
    </comment>
    <comment ref="V7" authorId="0" shapeId="0">
      <text>
        <r>
          <rPr>
            <b/>
            <sz val="9"/>
            <color indexed="81"/>
            <rFont val="MS P ゴシック"/>
            <family val="3"/>
            <charset val="128"/>
          </rPr>
          <t>牧野　広樹:</t>
        </r>
        <r>
          <rPr>
            <sz val="9"/>
            <color indexed="81"/>
            <rFont val="MS P ゴシック"/>
            <family val="3"/>
            <charset val="128"/>
          </rPr>
          <t xml:space="preserve">
\\ussnas\財務部\40_予算\2703\①当初予算\②対外予算\③予算開示資料
B1500AL_2703(2603短信)_予算開示資料(STRAVS)</t>
        </r>
      </text>
    </comment>
    <comment ref="AJ7" authorId="0" shapeId="0">
      <text>
        <r>
          <rPr>
            <b/>
            <sz val="9"/>
            <color indexed="81"/>
            <rFont val="MS P ゴシック"/>
            <family val="3"/>
            <charset val="128"/>
          </rPr>
          <t>牧野　広樹:</t>
        </r>
        <r>
          <rPr>
            <sz val="9"/>
            <color indexed="81"/>
            <rFont val="MS P ゴシック"/>
            <family val="3"/>
            <charset val="128"/>
          </rPr>
          <t xml:space="preserve">
連結フォルダ
確定フォルダ(チェック済)
D2110AL_yy03グループ売上
グループ売上★シート
Q列～U列　6～22行
D2100AL_yy03セグメント</t>
        </r>
      </text>
    </comment>
    <comment ref="P9" authorId="1" shapeId="0">
      <text>
        <r>
          <rPr>
            <b/>
            <sz val="9"/>
            <color indexed="81"/>
            <rFont val="MS P ゴシック"/>
            <family val="3"/>
            <charset val="128"/>
          </rPr>
          <t xml:space="preserve">JBA除く
</t>
        </r>
      </text>
    </comment>
    <comment ref="AE9" authorId="1" shapeId="0">
      <text>
        <r>
          <rPr>
            <b/>
            <sz val="9"/>
            <color indexed="81"/>
            <rFont val="MS P ゴシック"/>
            <family val="3"/>
            <charset val="128"/>
          </rPr>
          <t xml:space="preserve">JBA除く
</t>
        </r>
      </text>
    </comment>
    <comment ref="P12" authorId="1" shapeId="0">
      <text>
        <r>
          <rPr>
            <b/>
            <sz val="9"/>
            <color indexed="81"/>
            <rFont val="MS P ゴシック"/>
            <family val="3"/>
            <charset val="128"/>
          </rPr>
          <t>JBA神戸・横浜の
出品・成約・落札</t>
        </r>
      </text>
    </comment>
    <comment ref="AE12" authorId="1" shapeId="0">
      <text>
        <r>
          <rPr>
            <b/>
            <sz val="9"/>
            <color indexed="81"/>
            <rFont val="MS P ゴシック"/>
            <family val="3"/>
            <charset val="128"/>
          </rPr>
          <t>JBA神戸・横浜の
出品・成約・落札</t>
        </r>
      </text>
    </comment>
    <comment ref="AJ17" authorId="0" shapeId="0">
      <text>
        <r>
          <rPr>
            <b/>
            <sz val="9"/>
            <color indexed="81"/>
            <rFont val="MS P ゴシック"/>
            <family val="3"/>
            <charset val="128"/>
          </rPr>
          <t>牧野　広樹:</t>
        </r>
        <r>
          <rPr>
            <sz val="9"/>
            <color indexed="81"/>
            <rFont val="MS P ゴシック"/>
            <family val="3"/>
            <charset val="128"/>
          </rPr>
          <t xml:space="preserve">
ラビット
※セグメント間の内部売上高又は振替高は除く</t>
        </r>
      </text>
    </comment>
    <comment ref="AJ18" authorId="0" shapeId="0">
      <text>
        <r>
          <rPr>
            <b/>
            <sz val="9"/>
            <color indexed="81"/>
            <rFont val="MS P ゴシック"/>
            <family val="3"/>
            <charset val="128"/>
          </rPr>
          <t>牧野　広樹:</t>
        </r>
        <r>
          <rPr>
            <sz val="9"/>
            <color indexed="81"/>
            <rFont val="MS P ゴシック"/>
            <family val="3"/>
            <charset val="128"/>
          </rPr>
          <t xml:space="preserve">
リプロ
※セグメント間の内部売上高又は振替高は除く</t>
        </r>
      </text>
    </comment>
    <comment ref="AJ21" authorId="0" shapeId="0">
      <text>
        <r>
          <rPr>
            <b/>
            <sz val="9"/>
            <color indexed="81"/>
            <rFont val="MS P ゴシック"/>
            <family val="3"/>
            <charset val="128"/>
          </rPr>
          <t>牧野　広樹:</t>
        </r>
        <r>
          <rPr>
            <sz val="9"/>
            <color indexed="81"/>
            <rFont val="MS P ゴシック"/>
            <family val="3"/>
            <charset val="128"/>
          </rPr>
          <t xml:space="preserve">
アビヅ
※セグメント間の内部売上高又は振替高は除く</t>
        </r>
      </text>
    </comment>
    <comment ref="AJ22" authorId="0" shapeId="0">
      <text>
        <r>
          <rPr>
            <b/>
            <sz val="9"/>
            <color indexed="81"/>
            <rFont val="MS P ゴシック"/>
            <family val="3"/>
            <charset val="128"/>
          </rPr>
          <t>牧野　広樹:</t>
        </r>
        <r>
          <rPr>
            <sz val="9"/>
            <color indexed="81"/>
            <rFont val="MS P ゴシック"/>
            <family val="3"/>
            <charset val="128"/>
          </rPr>
          <t xml:space="preserve">
SMART
※セグメント間の内部売上高又は振替高は除く</t>
        </r>
      </text>
    </comment>
    <comment ref="U33" authorId="0" shapeId="0">
      <text>
        <r>
          <rPr>
            <b/>
            <sz val="9"/>
            <color indexed="81"/>
            <rFont val="MS P ゴシック"/>
            <family val="3"/>
            <charset val="128"/>
          </rPr>
          <t>牧野　広樹:</t>
        </r>
        <r>
          <rPr>
            <sz val="9"/>
            <color indexed="81"/>
            <rFont val="MS P ゴシック"/>
            <family val="3"/>
            <charset val="128"/>
          </rPr>
          <t xml:space="preserve">
D1110AL_yy03連結試算表(外部数値)</t>
        </r>
      </text>
    </comment>
    <comment ref="U34" authorId="0" shapeId="0">
      <text>
        <r>
          <rPr>
            <b/>
            <sz val="9"/>
            <color indexed="81"/>
            <rFont val="MS P ゴシック"/>
            <family val="3"/>
            <charset val="128"/>
          </rPr>
          <t>牧野　広樹:</t>
        </r>
        <r>
          <rPr>
            <sz val="9"/>
            <color indexed="81"/>
            <rFont val="MS P ゴシック"/>
            <family val="3"/>
            <charset val="128"/>
          </rPr>
          <t xml:space="preserve">
D1110AL_yy03連結試算表(外部数値)</t>
        </r>
      </text>
    </comment>
    <comment ref="AJ34" authorId="0" shapeId="0">
      <text>
        <r>
          <rPr>
            <b/>
            <sz val="9"/>
            <color indexed="81"/>
            <rFont val="MS P ゴシック"/>
            <family val="3"/>
            <charset val="128"/>
          </rPr>
          <t>牧野　広樹:</t>
        </r>
        <r>
          <rPr>
            <sz val="9"/>
            <color indexed="81"/>
            <rFont val="MS P ゴシック"/>
            <family val="3"/>
            <charset val="128"/>
          </rPr>
          <t xml:space="preserve">
D1110AL_yy03連結試算表(外部数値)</t>
        </r>
      </text>
    </comment>
    <comment ref="U35" authorId="0" shapeId="0">
      <text>
        <r>
          <rPr>
            <b/>
            <sz val="9"/>
            <color indexed="81"/>
            <rFont val="MS P ゴシック"/>
            <family val="3"/>
            <charset val="128"/>
          </rPr>
          <t>牧野　広樹:
D1110AL_yy03連結試算表(外部数値)</t>
        </r>
      </text>
    </comment>
    <comment ref="AJ35" authorId="0" shapeId="0">
      <text>
        <r>
          <rPr>
            <b/>
            <sz val="9"/>
            <color indexed="81"/>
            <rFont val="MS P ゴシック"/>
            <family val="3"/>
            <charset val="128"/>
          </rPr>
          <t>牧野　広樹:
D1110AL_yy03連結試算表(外部数値)</t>
        </r>
      </text>
    </comment>
    <comment ref="U41" authorId="0" shapeId="0">
      <text>
        <r>
          <rPr>
            <b/>
            <sz val="9"/>
            <color indexed="81"/>
            <rFont val="MS P ゴシック"/>
            <family val="3"/>
            <charset val="128"/>
          </rPr>
          <t>牧野　広樹:</t>
        </r>
        <r>
          <rPr>
            <sz val="9"/>
            <color indexed="81"/>
            <rFont val="MS P ゴシック"/>
            <family val="3"/>
            <charset val="128"/>
          </rPr>
          <t xml:space="preserve">
\\ussnas\財務部\10_担当業務\10_台数\AA実績\26.3期(2025年4月～2026年3月)\10_会場別実績表\2_実績表確定データ
実績表yy04-yy03(対外予算)</t>
        </r>
      </text>
    </comment>
    <comment ref="U42" authorId="0" shapeId="0">
      <text>
        <r>
          <rPr>
            <b/>
            <sz val="9"/>
            <color indexed="81"/>
            <rFont val="MS P ゴシック"/>
            <family val="3"/>
            <charset val="128"/>
          </rPr>
          <t>牧野　広樹:</t>
        </r>
        <r>
          <rPr>
            <sz val="9"/>
            <color indexed="81"/>
            <rFont val="MS P ゴシック"/>
            <family val="3"/>
            <charset val="128"/>
          </rPr>
          <t xml:space="preserve">
\\ussnas\財務部\10_担当業務\10_台数\AA実績\26.3期(2025年4月～2026年3月)\10_会場別実績表\2_実績表確定データ
実績表yy04-yy03(対外予算)</t>
        </r>
      </text>
    </comment>
    <comment ref="U43" authorId="0" shapeId="0">
      <text>
        <r>
          <rPr>
            <b/>
            <sz val="9"/>
            <color indexed="81"/>
            <rFont val="MS P ゴシック"/>
            <family val="3"/>
            <charset val="128"/>
          </rPr>
          <t>牧野　広樹:</t>
        </r>
        <r>
          <rPr>
            <sz val="9"/>
            <color indexed="81"/>
            <rFont val="MS P ゴシック"/>
            <family val="3"/>
            <charset val="128"/>
          </rPr>
          <t xml:space="preserve">
\\ussnas\財務部\10_担当業務\10_台数\AA実績\26.3期(2025年4月～2026年3月)\10_会場別実績表\2_実績表確定データ
実績表yy04-yy03(対外予算)</t>
        </r>
      </text>
    </comment>
    <comment ref="U44" authorId="0" shapeId="0">
      <text>
        <r>
          <rPr>
            <b/>
            <sz val="9"/>
            <color indexed="81"/>
            <rFont val="MS P ゴシック"/>
            <family val="3"/>
            <charset val="128"/>
          </rPr>
          <t>牧野　広樹:</t>
        </r>
        <r>
          <rPr>
            <sz val="9"/>
            <color indexed="81"/>
            <rFont val="MS P ゴシック"/>
            <family val="3"/>
            <charset val="128"/>
          </rPr>
          <t xml:space="preserve">
\\ussnas\財務部\50_開示・IR資料関連\00_開示資料\一台当たり手数料
C9200AL_yy03一台当たり手数料
会場別発生シート
当期　W52～54行</t>
        </r>
      </text>
    </comment>
    <comment ref="AJ44" authorId="0" shapeId="0">
      <text>
        <r>
          <rPr>
            <b/>
            <sz val="9"/>
            <color indexed="81"/>
            <rFont val="MS P ゴシック"/>
            <family val="3"/>
            <charset val="128"/>
          </rPr>
          <t>牧野　広樹:</t>
        </r>
        <r>
          <rPr>
            <sz val="9"/>
            <color indexed="81"/>
            <rFont val="MS P ゴシック"/>
            <family val="3"/>
            <charset val="128"/>
          </rPr>
          <t xml:space="preserve">
\\ussnas\財務部\10_担当業務\10_台数\AA実績\26.3期(2025年4月～2026年3月)\10_会場別実績表\2_実績表確定データ
実績表yy04-yy03(対外予算)</t>
        </r>
      </text>
    </comment>
    <comment ref="AJ45" authorId="0" shapeId="0">
      <text>
        <r>
          <rPr>
            <b/>
            <sz val="9"/>
            <color indexed="81"/>
            <rFont val="MS P ゴシック"/>
            <family val="3"/>
            <charset val="128"/>
          </rPr>
          <t>牧野　広樹:</t>
        </r>
        <r>
          <rPr>
            <sz val="9"/>
            <color indexed="81"/>
            <rFont val="MS P ゴシック"/>
            <family val="3"/>
            <charset val="128"/>
          </rPr>
          <t xml:space="preserve">
\\ussnas\財務部\50_開示・IR資料関連\00_開示資料\一台当たり手数料
C9200AL_yy03一台当たり手数料
会場別発生シート
当期　W52～54行</t>
        </r>
      </text>
    </comment>
    <comment ref="U47" authorId="0" shapeId="0">
      <text>
        <r>
          <rPr>
            <b/>
            <sz val="9"/>
            <color indexed="81"/>
            <rFont val="MS P ゴシック"/>
            <family val="3"/>
            <charset val="128"/>
          </rPr>
          <t>牧野　広樹:</t>
        </r>
        <r>
          <rPr>
            <sz val="9"/>
            <color indexed="81"/>
            <rFont val="MS P ゴシック"/>
            <family val="3"/>
            <charset val="128"/>
          </rPr>
          <t xml:space="preserve">
\\ussnas\財務部\50_開示・IR資料関連\00_開示資料\会員数
D9200AL_yy03会員数</t>
        </r>
      </text>
    </comment>
    <comment ref="AJ48" authorId="0" shapeId="0">
      <text>
        <r>
          <rPr>
            <b/>
            <sz val="9"/>
            <color indexed="81"/>
            <rFont val="MS P ゴシック"/>
            <family val="3"/>
            <charset val="128"/>
          </rPr>
          <t>牧野　広樹:</t>
        </r>
        <r>
          <rPr>
            <sz val="9"/>
            <color indexed="81"/>
            <rFont val="MS P ゴシック"/>
            <family val="3"/>
            <charset val="128"/>
          </rPr>
          <t xml:space="preserve">
\\ussnas\財務部\50_開示・IR資料関連\00_開示資料\会員数
D9200AL_yy03会員数</t>
        </r>
      </text>
    </comment>
    <comment ref="V50" authorId="0" shapeId="0">
      <text>
        <r>
          <rPr>
            <b/>
            <sz val="9"/>
            <color indexed="81"/>
            <rFont val="MS P ゴシック"/>
            <family val="3"/>
            <charset val="128"/>
          </rPr>
          <t>牧野　広樹:</t>
        </r>
        <r>
          <rPr>
            <sz val="9"/>
            <color indexed="81"/>
            <rFont val="MS P ゴシック"/>
            <family val="3"/>
            <charset val="128"/>
          </rPr>
          <t xml:space="preserve">
ラビット直営店舗数+ラビットFC店舗数</t>
        </r>
      </text>
    </comment>
    <comment ref="P55" authorId="0" shapeId="0">
      <text>
        <r>
          <rPr>
            <b/>
            <sz val="9"/>
            <color indexed="81"/>
            <rFont val="MS P ゴシック"/>
            <family val="3"/>
            <charset val="128"/>
          </rPr>
          <t>牧野　広樹:</t>
        </r>
        <r>
          <rPr>
            <sz val="9"/>
            <color indexed="81"/>
            <rFont val="MS P ゴシック"/>
            <family val="3"/>
            <charset val="128"/>
          </rPr>
          <t xml:space="preserve">
\\ussnas\財務部\40_予算\2703\①当初予算\②対外予算\③予算開示資料
B1500AL_2703(2603短信)_予算開示資料(STRAVS)
※実績もあり</t>
        </r>
      </text>
    </comment>
    <comment ref="P56" authorId="0" shapeId="0">
      <text>
        <r>
          <rPr>
            <b/>
            <sz val="9"/>
            <color indexed="81"/>
            <rFont val="MS P ゴシック"/>
            <family val="3"/>
            <charset val="128"/>
          </rPr>
          <t>牧野　広樹:</t>
        </r>
        <r>
          <rPr>
            <sz val="9"/>
            <color indexed="81"/>
            <rFont val="MS P ゴシック"/>
            <family val="3"/>
            <charset val="128"/>
          </rPr>
          <t xml:space="preserve">
\\ussnas\財務部\40_予算\2703\①当初予算\②対外予算\③予算開示資料
B1500AL_2703(2603短信)_予算開示資料(STRAVS)
※実績もあり</t>
        </r>
      </text>
    </comment>
  </commentList>
</comments>
</file>

<file path=xl/comments2.xml><?xml version="1.0" encoding="utf-8"?>
<comments xmlns="http://schemas.openxmlformats.org/spreadsheetml/2006/main">
  <authors>
    <author>牧野　広樹</author>
  </authors>
  <commentList>
    <comment ref="S43" authorId="0" shapeId="0">
      <text>
        <r>
          <rPr>
            <b/>
            <sz val="9"/>
            <color indexed="81"/>
            <rFont val="MS P ゴシック"/>
            <family val="3"/>
            <charset val="128"/>
          </rPr>
          <t>牧野　広樹:</t>
        </r>
        <r>
          <rPr>
            <sz val="9"/>
            <color indexed="81"/>
            <rFont val="MS P ゴシック"/>
            <family val="3"/>
            <charset val="128"/>
          </rPr>
          <t xml:space="preserve">
この行のみ数式</t>
        </r>
      </text>
    </comment>
  </commentList>
</comments>
</file>

<file path=xl/comments3.xml><?xml version="1.0" encoding="utf-8"?>
<comments xmlns="http://schemas.openxmlformats.org/spreadsheetml/2006/main">
  <authors>
    <author>今井　優作</author>
    <author>堀田 真未</author>
  </authors>
  <commentList>
    <comment ref="AF29" authorId="0" shapeId="0">
      <text>
        <r>
          <rPr>
            <sz val="9"/>
            <color indexed="81"/>
            <rFont val="ＭＳ Ｐゴシック"/>
            <family val="3"/>
            <charset val="128"/>
          </rPr>
          <t>1992年掲載台数2,314,108台</t>
        </r>
      </text>
    </comment>
    <comment ref="AG29" authorId="0" shapeId="0">
      <text>
        <r>
          <rPr>
            <sz val="9"/>
            <color indexed="81"/>
            <rFont val="ＭＳ Ｐゴシック"/>
            <family val="3"/>
            <charset val="128"/>
          </rPr>
          <t xml:space="preserve">1993年掲載台数2,546,211台
</t>
        </r>
      </text>
    </comment>
    <comment ref="AT29" authorId="0" shapeId="0">
      <text>
        <r>
          <rPr>
            <sz val="9"/>
            <color indexed="81"/>
            <rFont val="ＭＳ Ｐゴシック"/>
            <family val="3"/>
            <charset val="128"/>
          </rPr>
          <t>2006年掲載台数7,965,534台</t>
        </r>
      </text>
    </comment>
    <comment ref="BA29" authorId="0" shapeId="0">
      <text>
        <r>
          <rPr>
            <sz val="9"/>
            <color indexed="81"/>
            <rFont val="ＭＳ Ｐゴシック"/>
            <family val="3"/>
            <charset val="128"/>
          </rPr>
          <t>2013年掲載台数7,210,413台</t>
        </r>
      </text>
    </comment>
    <comment ref="BB29" authorId="0" shapeId="0">
      <text>
        <r>
          <rPr>
            <sz val="9"/>
            <color indexed="81"/>
            <rFont val="ＭＳ Ｐゴシック"/>
            <family val="3"/>
            <charset val="128"/>
          </rPr>
          <t>2014年掲載台数7,047,405台</t>
        </r>
      </text>
    </comment>
    <comment ref="BD29" authorId="0" shapeId="0">
      <text>
        <r>
          <rPr>
            <sz val="9"/>
            <color indexed="81"/>
            <rFont val="ＭＳ Ｐゴシック"/>
            <family val="3"/>
            <charset val="128"/>
          </rPr>
          <t>2017年掲載台数7,185,240台は
誤りなので使用しない</t>
        </r>
      </text>
    </comment>
    <comment ref="AJ94" authorId="1" shapeId="0">
      <text>
        <r>
          <rPr>
            <b/>
            <sz val="9"/>
            <color indexed="81"/>
            <rFont val="MS P ゴシック"/>
            <family val="3"/>
            <charset val="128"/>
          </rPr>
          <t xml:space="preserve">2013年以前は
ＢＣＮＡＡ
</t>
        </r>
      </text>
    </comment>
  </commentList>
</comments>
</file>

<file path=xl/comments4.xml><?xml version="1.0" encoding="utf-8"?>
<comments xmlns="http://schemas.openxmlformats.org/spreadsheetml/2006/main">
  <authors>
    <author>堀田 真未</author>
  </authors>
  <commentList>
    <comment ref="AZ32" authorId="0" shapeId="0">
      <text>
        <r>
          <rPr>
            <b/>
            <sz val="9"/>
            <color indexed="81"/>
            <rFont val="MS P ゴシック"/>
            <family val="3"/>
            <charset val="128"/>
          </rPr>
          <t>JBAｼｪｱ.xlsx
月次合計の
JBA横浜とJBA神戸の計</t>
        </r>
      </text>
    </comment>
    <comment ref="AZ34" authorId="0" shapeId="0">
      <text>
        <r>
          <rPr>
            <b/>
            <sz val="9"/>
            <color indexed="81"/>
            <rFont val="MS P ゴシック"/>
            <family val="3"/>
            <charset val="128"/>
          </rPr>
          <t>JBAシェア.xlsx
出品合計欄</t>
        </r>
      </text>
    </comment>
  </commentList>
</comments>
</file>

<file path=xl/comments5.xml><?xml version="1.0" encoding="utf-8"?>
<comments xmlns="http://schemas.openxmlformats.org/spreadsheetml/2006/main">
  <authors>
    <author>今井 優作</author>
  </authors>
  <commentList>
    <comment ref="R4" authorId="0" shapeId="0">
      <text>
        <r>
          <rPr>
            <sz val="9"/>
            <color indexed="81"/>
            <rFont val="ＭＳ Ｐゴシック"/>
            <family val="3"/>
            <charset val="128"/>
          </rPr>
          <t>実績表の年度累計から会場名と当期、前期の開催数、出品台数、成約台数を値貼付で転記。Y:AB列で岡山と四国を合算し、Q列に順位を表示し、上から順に転記するように表に数式を設定
※JAA、HAA神戸は実績表上は半角英数字だが、DATABOOK上の表記は全角英数字なので、転記後に直接修正すること</t>
        </r>
      </text>
    </comment>
  </commentList>
</comments>
</file>

<file path=xl/comments6.xml><?xml version="1.0" encoding="utf-8"?>
<comments xmlns="http://schemas.openxmlformats.org/spreadsheetml/2006/main">
  <authors>
    <author>堀田 真未</author>
    <author>牧野　広樹</author>
  </authors>
  <commentList>
    <comment ref="AD5" authorId="0" shapeId="0">
      <text>
        <r>
          <rPr>
            <b/>
            <sz val="9"/>
            <color indexed="81"/>
            <rFont val="MS P ゴシック"/>
            <family val="3"/>
            <charset val="128"/>
          </rPr>
          <t>D2110AL_2203グループ売上Ver1.7.6.xlsx
グループ売上★シート
Q列～U列　6～22行</t>
        </r>
      </text>
    </comment>
    <comment ref="S41" authorId="0" shapeId="0">
      <text>
        <r>
          <rPr>
            <b/>
            <sz val="9"/>
            <color indexed="81"/>
            <rFont val="MS P ゴシック"/>
            <family val="3"/>
            <charset val="128"/>
          </rPr>
          <t>\\ussnas\財務部\50_開示・IR資料関連\00_開示資料\一台当たり手数料
C9200AL_yymm一台当たり手数料
要因シート
③当年度（四半期）
出品手数料高+出品料割戻を1Q～4Q足したもの</t>
        </r>
      </text>
    </comment>
    <comment ref="AD47" authorId="0" shapeId="0">
      <text>
        <r>
          <rPr>
            <b/>
            <sz val="9"/>
            <color indexed="81"/>
            <rFont val="MS P ゴシック"/>
            <family val="3"/>
            <charset val="128"/>
          </rPr>
          <t>\\ussnas\財務部\10_担当業務\10_台数\AA実績\26.3期(2025年4月～2026年3月)\20_車種別AA実績
車種別出品実績Ver1.4.5_21.03期.xlsm
ﾘﾕｰｽ手数料シート</t>
        </r>
      </text>
    </comment>
    <comment ref="AD53" authorId="1" shapeId="0">
      <text>
        <r>
          <rPr>
            <b/>
            <sz val="9"/>
            <color indexed="81"/>
            <rFont val="MS P ゴシック"/>
            <family val="3"/>
            <charset val="128"/>
          </rPr>
          <t>牧野　広樹:</t>
        </r>
        <r>
          <rPr>
            <sz val="9"/>
            <color indexed="81"/>
            <rFont val="MS P ゴシック"/>
            <family val="3"/>
            <charset val="128"/>
          </rPr>
          <t xml:space="preserve">
\\ussnas\財務部\10_担当業務\10_台数\AA実績\26.3期(2025年4月～2026年3月)\20_車種別AA実績
車種別出品実績Ver1.4.5_21.03期.xlsm
ﾘﾕｰｽ　軽シート
上段</t>
        </r>
      </text>
    </comment>
    <comment ref="AD54" authorId="1" shapeId="0">
      <text>
        <r>
          <rPr>
            <b/>
            <sz val="9"/>
            <color indexed="81"/>
            <rFont val="MS P ゴシック"/>
            <family val="3"/>
            <charset val="128"/>
          </rPr>
          <t>牧野　広樹:</t>
        </r>
        <r>
          <rPr>
            <sz val="9"/>
            <color indexed="81"/>
            <rFont val="MS P ゴシック"/>
            <family val="3"/>
            <charset val="128"/>
          </rPr>
          <t xml:space="preserve">
\\ussnas\財務部\10_担当業務\10_台数\AA実績\26.3期(2025年4月～2026年3月)\20_車種別AA実績
車種別出品実績Ver1.4.5_21.03期.xlsm
ﾘﾕｰｽ　軽シート
上段</t>
        </r>
      </text>
    </comment>
  </commentList>
</comments>
</file>

<file path=xl/comments7.xml><?xml version="1.0" encoding="utf-8"?>
<comments xmlns="http://schemas.openxmlformats.org/spreadsheetml/2006/main">
  <authors>
    <author>牧野　広樹</author>
    <author>堀田 真未</author>
    <author>井上 嵩大</author>
  </authors>
  <commentList>
    <comment ref="U17" authorId="0" shapeId="0">
      <text>
        <r>
          <rPr>
            <b/>
            <sz val="9"/>
            <color indexed="81"/>
            <rFont val="MS P ゴシック"/>
            <family val="3"/>
            <charset val="128"/>
          </rPr>
          <t>牧野　広樹:</t>
        </r>
        <r>
          <rPr>
            <sz val="9"/>
            <color indexed="81"/>
            <rFont val="MS P ゴシック"/>
            <family val="3"/>
            <charset val="128"/>
          </rPr>
          <t xml:space="preserve">
\\ussnas\財務部\50_開示・IR資料関連\00_開示資料\外部落札
F7100US_〇〇外部落札通期実績</t>
        </r>
      </text>
    </comment>
    <comment ref="U18" authorId="1" shapeId="0">
      <text>
        <r>
          <rPr>
            <b/>
            <sz val="9"/>
            <color indexed="81"/>
            <rFont val="MS P ゴシック"/>
            <family val="3"/>
            <charset val="128"/>
          </rPr>
          <t>\\ussnas\財務部\50_開示・IR資料関連\00_開示資料\外部落札
F7100US_〇〇外部落札通期実績</t>
        </r>
      </text>
    </comment>
    <comment ref="U20" authorId="0" shapeId="0">
      <text>
        <r>
          <rPr>
            <b/>
            <sz val="9"/>
            <color indexed="81"/>
            <rFont val="MS P ゴシック"/>
            <family val="3"/>
            <charset val="128"/>
          </rPr>
          <t>牧野　広樹:</t>
        </r>
        <r>
          <rPr>
            <sz val="9"/>
            <color indexed="81"/>
            <rFont val="MS P ゴシック"/>
            <family val="3"/>
            <charset val="128"/>
          </rPr>
          <t xml:space="preserve">
\\ussnas\財務部\10_担当業務\10_台数\AA実績\26.3期(2025年4月～2026年3月)\10_会場別実績表\2_実績表確定データ
実績表yy04-yy03(対外予算)
成約台数 USSグループ合計</t>
        </r>
      </text>
    </comment>
    <comment ref="H24" authorId="2" shapeId="0">
      <text>
        <r>
          <rPr>
            <b/>
            <sz val="9"/>
            <color indexed="81"/>
            <rFont val="MS P ゴシック"/>
            <family val="3"/>
            <charset val="128"/>
          </rPr>
          <t>この時期に数字のの動きが増大してるため記載が必要と判断。2022.3作成時</t>
        </r>
      </text>
    </comment>
  </commentList>
</comments>
</file>

<file path=xl/comments8.xml><?xml version="1.0" encoding="utf-8"?>
<comments xmlns="http://schemas.openxmlformats.org/spreadsheetml/2006/main">
  <authors>
    <author>牧野　広樹</author>
  </authors>
  <commentList>
    <comment ref="U7" authorId="0" shapeId="0">
      <text>
        <r>
          <rPr>
            <b/>
            <sz val="9"/>
            <color indexed="81"/>
            <rFont val="MS P ゴシック"/>
            <family val="3"/>
            <charset val="128"/>
          </rPr>
          <t>牧野　広樹:</t>
        </r>
        <r>
          <rPr>
            <sz val="9"/>
            <color indexed="81"/>
            <rFont val="MS P ゴシック"/>
            <family val="3"/>
            <charset val="128"/>
          </rPr>
          <t xml:space="preserve">
ラビット</t>
        </r>
      </text>
    </comment>
    <comment ref="AG7" authorId="0" shapeId="0">
      <text>
        <r>
          <rPr>
            <b/>
            <sz val="9"/>
            <color indexed="81"/>
            <rFont val="MS P ゴシック"/>
            <family val="3"/>
            <charset val="128"/>
          </rPr>
          <t>牧野　広樹:</t>
        </r>
        <r>
          <rPr>
            <sz val="9"/>
            <color indexed="81"/>
            <rFont val="MS P ゴシック"/>
            <family val="3"/>
            <charset val="128"/>
          </rPr>
          <t xml:space="preserve">
売上高計</t>
        </r>
      </text>
    </comment>
    <comment ref="U10" authorId="0" shapeId="0">
      <text>
        <r>
          <rPr>
            <b/>
            <sz val="9"/>
            <color indexed="81"/>
            <rFont val="MS P ゴシック"/>
            <family val="3"/>
            <charset val="128"/>
          </rPr>
          <t>牧野　広樹:</t>
        </r>
        <r>
          <rPr>
            <sz val="9"/>
            <color indexed="81"/>
            <rFont val="MS P ゴシック"/>
            <family val="3"/>
            <charset val="128"/>
          </rPr>
          <t xml:space="preserve">
リプロワールド</t>
        </r>
      </text>
    </comment>
    <comment ref="AG10" authorId="0" shapeId="0">
      <text>
        <r>
          <rPr>
            <b/>
            <sz val="9"/>
            <color indexed="81"/>
            <rFont val="MS P ゴシック"/>
            <family val="3"/>
            <charset val="128"/>
          </rPr>
          <t>牧野　広樹:</t>
        </r>
        <r>
          <rPr>
            <sz val="9"/>
            <color indexed="81"/>
            <rFont val="MS P ゴシック"/>
            <family val="3"/>
            <charset val="128"/>
          </rPr>
          <t xml:space="preserve">
売上高計</t>
        </r>
      </text>
    </comment>
    <comment ref="AG13" authorId="0" shapeId="0">
      <text>
        <r>
          <rPr>
            <b/>
            <sz val="9"/>
            <color indexed="81"/>
            <rFont val="MS P ゴシック"/>
            <family val="3"/>
            <charset val="128"/>
          </rPr>
          <t>牧野　広樹:</t>
        </r>
        <r>
          <rPr>
            <sz val="9"/>
            <color indexed="81"/>
            <rFont val="MS P ゴシック"/>
            <family val="3"/>
            <charset val="128"/>
          </rPr>
          <t xml:space="preserve">
売上高計</t>
        </r>
      </text>
    </comment>
  </commentList>
</comments>
</file>

<file path=xl/comments9.xml><?xml version="1.0" encoding="utf-8"?>
<comments xmlns="http://schemas.openxmlformats.org/spreadsheetml/2006/main">
  <authors>
    <author>牧野　広樹</author>
  </authors>
  <commentList>
    <comment ref="U7" authorId="0" shapeId="0">
      <text>
        <r>
          <rPr>
            <b/>
            <sz val="9"/>
            <color indexed="81"/>
            <rFont val="MS P ゴシック"/>
            <family val="3"/>
            <charset val="128"/>
          </rPr>
          <t>牧野　広樹:</t>
        </r>
        <r>
          <rPr>
            <sz val="9"/>
            <color indexed="81"/>
            <rFont val="MS P ゴシック"/>
            <family val="3"/>
            <charset val="128"/>
          </rPr>
          <t xml:space="preserve">
アビヅ</t>
        </r>
      </text>
    </comment>
    <comment ref="AG7" authorId="0" shapeId="0">
      <text>
        <r>
          <rPr>
            <b/>
            <sz val="9"/>
            <color indexed="81"/>
            <rFont val="MS P ゴシック"/>
            <family val="3"/>
            <charset val="128"/>
          </rPr>
          <t>牧野　広樹:</t>
        </r>
        <r>
          <rPr>
            <sz val="9"/>
            <color indexed="81"/>
            <rFont val="MS P ゴシック"/>
            <family val="3"/>
            <charset val="128"/>
          </rPr>
          <t xml:space="preserve">
売上高計</t>
        </r>
      </text>
    </comment>
    <comment ref="U10" authorId="0" shapeId="0">
      <text>
        <r>
          <rPr>
            <b/>
            <sz val="9"/>
            <color indexed="81"/>
            <rFont val="MS P ゴシック"/>
            <family val="3"/>
            <charset val="128"/>
          </rPr>
          <t>牧野　広樹:</t>
        </r>
        <r>
          <rPr>
            <sz val="9"/>
            <color indexed="81"/>
            <rFont val="MS P ゴシック"/>
            <family val="3"/>
            <charset val="128"/>
          </rPr>
          <t xml:space="preserve">
SMART</t>
        </r>
      </text>
    </comment>
    <comment ref="AG10" authorId="0" shapeId="0">
      <text>
        <r>
          <rPr>
            <b/>
            <sz val="9"/>
            <color indexed="81"/>
            <rFont val="MS P ゴシック"/>
            <family val="3"/>
            <charset val="128"/>
          </rPr>
          <t>牧野　広樹:</t>
        </r>
        <r>
          <rPr>
            <sz val="9"/>
            <color indexed="81"/>
            <rFont val="MS P ゴシック"/>
            <family val="3"/>
            <charset val="128"/>
          </rPr>
          <t xml:space="preserve">
売上高計</t>
        </r>
      </text>
    </comment>
    <comment ref="AG13" authorId="0" shapeId="0">
      <text>
        <r>
          <rPr>
            <b/>
            <sz val="9"/>
            <color indexed="81"/>
            <rFont val="MS P ゴシック"/>
            <family val="3"/>
            <charset val="128"/>
          </rPr>
          <t>牧野　広樹:</t>
        </r>
        <r>
          <rPr>
            <sz val="9"/>
            <color indexed="81"/>
            <rFont val="MS P ゴシック"/>
            <family val="3"/>
            <charset val="128"/>
          </rPr>
          <t xml:space="preserve">
売上高計</t>
        </r>
      </text>
    </comment>
    <comment ref="U56" authorId="0" shapeId="0">
      <text>
        <r>
          <rPr>
            <b/>
            <sz val="9"/>
            <color indexed="81"/>
            <rFont val="MS P ゴシック"/>
            <family val="3"/>
            <charset val="128"/>
          </rPr>
          <t>牧野　広樹:</t>
        </r>
        <r>
          <rPr>
            <sz val="9"/>
            <color indexed="81"/>
            <rFont val="MS P ゴシック"/>
            <family val="3"/>
            <charset val="128"/>
          </rPr>
          <t xml:space="preserve">
\\ussnas\財務部\50_開示・IR資料関連\00_開示資料\鉄相場
E1700AZ_yy03相場表
鉄ｽｸﾗｯﾌﾟ(日刊)シート</t>
        </r>
      </text>
    </comment>
    <comment ref="U61" authorId="0" shapeId="0">
      <text>
        <r>
          <rPr>
            <b/>
            <sz val="9"/>
            <color indexed="81"/>
            <rFont val="MS P ゴシック"/>
            <family val="3"/>
            <charset val="128"/>
          </rPr>
          <t>牧野　広樹:</t>
        </r>
        <r>
          <rPr>
            <sz val="9"/>
            <color indexed="81"/>
            <rFont val="MS P ゴシック"/>
            <family val="3"/>
            <charset val="128"/>
          </rPr>
          <t xml:space="preserve">
\\ussnas\財務部\50_開示・IR資料関連\00_開示資料\鉄相場
E1700AZ_yy03相場表
当該年度の最小値</t>
        </r>
      </text>
    </comment>
    <comment ref="U62" authorId="0" shapeId="0">
      <text>
        <r>
          <rPr>
            <b/>
            <sz val="9"/>
            <color indexed="81"/>
            <rFont val="MS P ゴシック"/>
            <family val="3"/>
            <charset val="128"/>
          </rPr>
          <t>牧野　広樹:</t>
        </r>
        <r>
          <rPr>
            <sz val="9"/>
            <color indexed="81"/>
            <rFont val="MS P ゴシック"/>
            <family val="3"/>
            <charset val="128"/>
          </rPr>
          <t xml:space="preserve">
\\ussnas\財務部\50_開示・IR資料関連\00_開示資料\鉄相場
E1700AZ_yy03相場表
当該年度の最大値</t>
        </r>
      </text>
    </comment>
    <comment ref="U63" authorId="0" shapeId="0">
      <text>
        <r>
          <rPr>
            <b/>
            <sz val="9"/>
            <color indexed="81"/>
            <rFont val="MS P ゴシック"/>
            <family val="3"/>
            <charset val="128"/>
          </rPr>
          <t>牧野　広樹:</t>
        </r>
        <r>
          <rPr>
            <sz val="9"/>
            <color indexed="81"/>
            <rFont val="MS P ゴシック"/>
            <family val="3"/>
            <charset val="128"/>
          </rPr>
          <t xml:space="preserve">
\\ussnas\財務部\50_開示・IR資料関連\00_開示資料\鉄相場
E1700AZ_yy03相場表
当該年度の平均値</t>
        </r>
      </text>
    </comment>
  </commentList>
</comments>
</file>

<file path=xl/sharedStrings.xml><?xml version="1.0" encoding="utf-8"?>
<sst xmlns="http://schemas.openxmlformats.org/spreadsheetml/2006/main" count="2761" uniqueCount="1756">
  <si>
    <t>10</t>
    <phoneticPr fontId="29"/>
  </si>
  <si>
    <t>その他の包括利益累計額</t>
    <rPh sb="2" eb="3">
      <t>タ</t>
    </rPh>
    <rPh sb="4" eb="6">
      <t>ホウカツ</t>
    </rPh>
    <rPh sb="6" eb="8">
      <t>リエキ</t>
    </rPh>
    <rPh sb="8" eb="10">
      <t>ルイケイ</t>
    </rPh>
    <rPh sb="10" eb="11">
      <t>ガク</t>
    </rPh>
    <phoneticPr fontId="17"/>
  </si>
  <si>
    <t>軽</t>
    <rPh sb="0" eb="1">
      <t>ケイ</t>
    </rPh>
    <phoneticPr fontId="17"/>
  </si>
  <si>
    <t>-</t>
    <phoneticPr fontId="14"/>
  </si>
  <si>
    <t>(7)</t>
    <phoneticPr fontId="29"/>
  </si>
  <si>
    <t>Avg YoY Change 
(10 year period)</t>
    <phoneticPr fontId="17"/>
  </si>
  <si>
    <t>Avg YoY Change 
(10 year period)</t>
    <phoneticPr fontId="17"/>
  </si>
  <si>
    <t>親会社株主帰属当期純利益</t>
    <phoneticPr fontId="14"/>
  </si>
  <si>
    <t>-</t>
    <phoneticPr fontId="17"/>
  </si>
  <si>
    <t>中古自動車買取販売
Revenues from Used Vehicle Sales/Purchases</t>
    <rPh sb="2" eb="4">
      <t>ジドウ</t>
    </rPh>
    <rPh sb="4" eb="5">
      <t>グルマ</t>
    </rPh>
    <phoneticPr fontId="17"/>
  </si>
  <si>
    <t>-</t>
    <phoneticPr fontId="17"/>
  </si>
  <si>
    <t>非支配株主からの払込による収入</t>
    <rPh sb="0" eb="1">
      <t>ヒ</t>
    </rPh>
    <rPh sb="1" eb="3">
      <t>シハイ</t>
    </rPh>
    <rPh sb="3" eb="5">
      <t>カブヌシ</t>
    </rPh>
    <rPh sb="8" eb="10">
      <t>ハライコミ</t>
    </rPh>
    <rPh sb="13" eb="15">
      <t>シュウニュウ</t>
    </rPh>
    <phoneticPr fontId="9"/>
  </si>
  <si>
    <t>非支配株主への配当金の支払額</t>
    <rPh sb="0" eb="1">
      <t>ヒ</t>
    </rPh>
    <rPh sb="1" eb="3">
      <t>シハイ</t>
    </rPh>
    <rPh sb="3" eb="5">
      <t>カブヌシ</t>
    </rPh>
    <rPh sb="7" eb="10">
      <t>ハイトウキン</t>
    </rPh>
    <rPh sb="11" eb="13">
      <t>シハライ</t>
    </rPh>
    <rPh sb="13" eb="14">
      <t>ガク</t>
    </rPh>
    <phoneticPr fontId="9"/>
  </si>
  <si>
    <t>並替退避用</t>
    <rPh sb="0" eb="1">
      <t>ナラ</t>
    </rPh>
    <rPh sb="1" eb="2">
      <t>タイ</t>
    </rPh>
    <rPh sb="2" eb="4">
      <t>タイヒ</t>
    </rPh>
    <rPh sb="4" eb="5">
      <t>ヨウ</t>
    </rPh>
    <phoneticPr fontId="14"/>
  </si>
  <si>
    <t>Avg YoY Change 
(10 year period)</t>
    <phoneticPr fontId="17"/>
  </si>
  <si>
    <t>長期前払費用</t>
    <rPh sb="0" eb="2">
      <t>チョウキ</t>
    </rPh>
    <rPh sb="2" eb="6">
      <t>マエバライヒヨウ</t>
    </rPh>
    <phoneticPr fontId="17"/>
  </si>
  <si>
    <t>投資その他の資産</t>
    <rPh sb="2" eb="5">
      <t>ソノタ</t>
    </rPh>
    <rPh sb="6" eb="8">
      <t>シサン</t>
    </rPh>
    <phoneticPr fontId="17"/>
  </si>
  <si>
    <t>短期借入金</t>
    <rPh sb="0" eb="2">
      <t>タンキ</t>
    </rPh>
    <rPh sb="2" eb="5">
      <t>カリイレキン</t>
    </rPh>
    <phoneticPr fontId="24"/>
  </si>
  <si>
    <t>その他の流動負債</t>
    <rPh sb="0" eb="3">
      <t>ソノタ</t>
    </rPh>
    <rPh sb="4" eb="6">
      <t>リュウドウ</t>
    </rPh>
    <rPh sb="6" eb="8">
      <t>フサイ</t>
    </rPh>
    <phoneticPr fontId="24"/>
  </si>
  <si>
    <t>長期借入金</t>
    <rPh sb="0" eb="2">
      <t>チョウキ</t>
    </rPh>
    <rPh sb="2" eb="5">
      <t>カリイレキン</t>
    </rPh>
    <phoneticPr fontId="24"/>
  </si>
  <si>
    <t>* All kinds of vehicles are listed, including light vans, buses, and trucks.</t>
    <phoneticPr fontId="17"/>
  </si>
  <si>
    <t>-</t>
    <phoneticPr fontId="14"/>
  </si>
  <si>
    <t>Group Name</t>
    <phoneticPr fontId="17"/>
  </si>
  <si>
    <t>Vehicles</t>
    <phoneticPr fontId="17"/>
  </si>
  <si>
    <t>Share</t>
    <phoneticPr fontId="17"/>
  </si>
  <si>
    <t>退職給付に係る負債</t>
    <rPh sb="0" eb="2">
      <t>タイショク</t>
    </rPh>
    <rPh sb="2" eb="4">
      <t>キュウフ</t>
    </rPh>
    <rPh sb="5" eb="6">
      <t>カカワ</t>
    </rPh>
    <rPh sb="7" eb="9">
      <t>フサイ</t>
    </rPh>
    <phoneticPr fontId="14"/>
  </si>
  <si>
    <t>中古自動車買取販売
Used Vehicle Sales/Purchases</t>
    <rPh sb="2" eb="4">
      <t>ジドウ</t>
    </rPh>
    <rPh sb="4" eb="5">
      <t>グルマ</t>
    </rPh>
    <phoneticPr fontId="17"/>
  </si>
  <si>
    <t>事故現状車買取販売
Accident-damaged Vehicle Sales/Purchases</t>
    <phoneticPr fontId="17"/>
  </si>
  <si>
    <t>営業利益率
Operating Margin</t>
    <rPh sb="0" eb="2">
      <t>エイギョウ</t>
    </rPh>
    <rPh sb="2" eb="4">
      <t>リエキ</t>
    </rPh>
    <rPh sb="4" eb="5">
      <t>リツ</t>
    </rPh>
    <phoneticPr fontId="18"/>
  </si>
  <si>
    <t>流動負債</t>
    <rPh sb="2" eb="4">
      <t>フサイ</t>
    </rPh>
    <phoneticPr fontId="17"/>
  </si>
  <si>
    <t>現金および預金</t>
    <phoneticPr fontId="17"/>
  </si>
  <si>
    <t>Others</t>
    <phoneticPr fontId="17"/>
  </si>
  <si>
    <t>Industry Total</t>
    <phoneticPr fontId="17"/>
  </si>
  <si>
    <t>-</t>
    <phoneticPr fontId="17"/>
  </si>
  <si>
    <t>中古自動車等買取販売計　営業利益率
Used Vehicle Sales/Purchases Total Operating Margin</t>
    <rPh sb="0" eb="2">
      <t>チュウコ</t>
    </rPh>
    <rPh sb="2" eb="5">
      <t>ジドウシャ</t>
    </rPh>
    <rPh sb="5" eb="6">
      <t>トウ</t>
    </rPh>
    <rPh sb="6" eb="8">
      <t>カイトリ</t>
    </rPh>
    <rPh sb="8" eb="10">
      <t>ハンバイ</t>
    </rPh>
    <rPh sb="10" eb="11">
      <t>ケイ</t>
    </rPh>
    <rPh sb="12" eb="14">
      <t>エイギョウ</t>
    </rPh>
    <rPh sb="14" eb="16">
      <t>リエキ</t>
    </rPh>
    <rPh sb="16" eb="17">
      <t>リツ</t>
    </rPh>
    <phoneticPr fontId="17"/>
  </si>
  <si>
    <t>中古自動車等買取販売計
営業利益率
Used Vehicle Sales/Purchases Business Total Operating Margin</t>
    <rPh sb="0" eb="2">
      <t>チュウコ</t>
    </rPh>
    <rPh sb="2" eb="5">
      <t>ジドウシャ</t>
    </rPh>
    <rPh sb="5" eb="6">
      <t>トウ</t>
    </rPh>
    <rPh sb="6" eb="8">
      <t>カイトリ</t>
    </rPh>
    <rPh sb="8" eb="10">
      <t>ハンバイ</t>
    </rPh>
    <rPh sb="10" eb="11">
      <t>ケイ</t>
    </rPh>
    <rPh sb="12" eb="14">
      <t>エイギョウ</t>
    </rPh>
    <rPh sb="14" eb="16">
      <t>リエキ</t>
    </rPh>
    <rPh sb="16" eb="17">
      <t>リツ</t>
    </rPh>
    <phoneticPr fontId="17"/>
  </si>
  <si>
    <t>減損損失</t>
    <rPh sb="0" eb="2">
      <t>ゲンソン</t>
    </rPh>
    <rPh sb="2" eb="4">
      <t>ソンシツ</t>
    </rPh>
    <phoneticPr fontId="17"/>
  </si>
  <si>
    <t>資産除去債務会計基準の適用に伴う影響額</t>
    <rPh sb="0" eb="2">
      <t>シサン</t>
    </rPh>
    <rPh sb="2" eb="4">
      <t>ジョキョ</t>
    </rPh>
    <rPh sb="4" eb="6">
      <t>サイム</t>
    </rPh>
    <rPh sb="6" eb="8">
      <t>カイケイ</t>
    </rPh>
    <rPh sb="8" eb="10">
      <t>キジュン</t>
    </rPh>
    <rPh sb="11" eb="13">
      <t>テキヨウ</t>
    </rPh>
    <rPh sb="14" eb="15">
      <t>トモナ</t>
    </rPh>
    <rPh sb="16" eb="19">
      <t>エイキョウガク</t>
    </rPh>
    <phoneticPr fontId="14"/>
  </si>
  <si>
    <t>包括利益</t>
    <rPh sb="0" eb="2">
      <t>ホウカツ</t>
    </rPh>
    <rPh sb="2" eb="4">
      <t>リエキ</t>
    </rPh>
    <phoneticPr fontId="14"/>
  </si>
  <si>
    <t>法人税等の支払額</t>
    <rPh sb="0" eb="3">
      <t>ホウジンゼイ</t>
    </rPh>
    <rPh sb="3" eb="4">
      <t>トウ</t>
    </rPh>
    <rPh sb="5" eb="7">
      <t>シハライ</t>
    </rPh>
    <rPh sb="7" eb="8">
      <t>ガク</t>
    </rPh>
    <phoneticPr fontId="14"/>
  </si>
  <si>
    <t>データ入力欄</t>
    <rPh sb="3" eb="5">
      <t>ニュウリョク</t>
    </rPh>
    <rPh sb="5" eb="6">
      <t>ラン</t>
    </rPh>
    <phoneticPr fontId="17"/>
  </si>
  <si>
    <t>＜ラビット店舗数＞</t>
    <rPh sb="5" eb="7">
      <t>テンポ</t>
    </rPh>
    <rPh sb="7" eb="8">
      <t>スウ</t>
    </rPh>
    <phoneticPr fontId="14"/>
  </si>
  <si>
    <t>１．営業活動によるキャッシュフロー</t>
  </si>
  <si>
    <t>減価償却費</t>
  </si>
  <si>
    <t>減損損失</t>
    <rPh sb="0" eb="2">
      <t>ゲンソン</t>
    </rPh>
    <rPh sb="2" eb="4">
      <t>ソンシツ</t>
    </rPh>
    <phoneticPr fontId="9"/>
  </si>
  <si>
    <t>賃貸借契約解約損</t>
    <rPh sb="0" eb="3">
      <t>チンタイシャク</t>
    </rPh>
    <rPh sb="3" eb="5">
      <t>ケイヤク</t>
    </rPh>
    <rPh sb="5" eb="7">
      <t>カイヤク</t>
    </rPh>
    <rPh sb="7" eb="8">
      <t>ソン</t>
    </rPh>
    <phoneticPr fontId="9"/>
  </si>
  <si>
    <t>無形固定資産除売却損</t>
    <rPh sb="0" eb="2">
      <t>ムケイ</t>
    </rPh>
    <phoneticPr fontId="9"/>
  </si>
  <si>
    <t>投資有価証券売却益</t>
    <rPh sb="0" eb="2">
      <t>トウシ</t>
    </rPh>
    <phoneticPr fontId="9"/>
  </si>
  <si>
    <t>ラビット店舗数</t>
    <rPh sb="4" eb="7">
      <t>テンポスウ</t>
    </rPh>
    <phoneticPr fontId="14"/>
  </si>
  <si>
    <t>増減比</t>
    <rPh sb="0" eb="2">
      <t>ゾウゲン</t>
    </rPh>
    <rPh sb="2" eb="3">
      <t>ヒ</t>
    </rPh>
    <phoneticPr fontId="29"/>
  </si>
  <si>
    <t>投資不動産の売却による収入</t>
    <rPh sb="0" eb="2">
      <t>トウシ</t>
    </rPh>
    <rPh sb="2" eb="5">
      <t>フドウサン</t>
    </rPh>
    <rPh sb="6" eb="8">
      <t>バイキャク</t>
    </rPh>
    <rPh sb="11" eb="13">
      <t>シュウニュウ</t>
    </rPh>
    <phoneticPr fontId="14"/>
  </si>
  <si>
    <t>利息および配当金の受取額</t>
    <rPh sb="0" eb="2">
      <t>リソク</t>
    </rPh>
    <rPh sb="5" eb="8">
      <t>ハイトウキン</t>
    </rPh>
    <rPh sb="9" eb="11">
      <t>ウケトリ</t>
    </rPh>
    <rPh sb="11" eb="12">
      <t>ガク</t>
    </rPh>
    <phoneticPr fontId="14"/>
  </si>
  <si>
    <t>利息の支払額</t>
    <rPh sb="0" eb="2">
      <t>リソク</t>
    </rPh>
    <rPh sb="3" eb="5">
      <t>シハライ</t>
    </rPh>
    <rPh sb="5" eb="6">
      <t>ガク</t>
    </rPh>
    <phoneticPr fontId="14"/>
  </si>
  <si>
    <t>New Zealand</t>
  </si>
  <si>
    <t>　■中古自動車の輸出手続代行サービスは2011年7月から営業開始したため、2011.3期の売上は"-"とする。</t>
    <rPh sb="23" eb="24">
      <t>ネン</t>
    </rPh>
    <rPh sb="25" eb="26">
      <t>ガツ</t>
    </rPh>
    <rPh sb="28" eb="30">
      <t>エイギョウ</t>
    </rPh>
    <rPh sb="30" eb="32">
      <t>カイシ</t>
    </rPh>
    <rPh sb="45" eb="47">
      <t>ウリアゲ</t>
    </rPh>
    <phoneticPr fontId="29"/>
  </si>
  <si>
    <t>↓鉄源協会の2009年1月～7月データ（※鉄源協会の発表がここで止まっている。）</t>
    <rPh sb="1" eb="3">
      <t>テツゲン</t>
    </rPh>
    <rPh sb="3" eb="5">
      <t>キョウカイ</t>
    </rPh>
    <rPh sb="10" eb="11">
      <t>ネン</t>
    </rPh>
    <rPh sb="12" eb="13">
      <t>ガツ</t>
    </rPh>
    <rPh sb="15" eb="16">
      <t>ガツ</t>
    </rPh>
    <rPh sb="21" eb="23">
      <t>テツゲン</t>
    </rPh>
    <rPh sb="23" eb="25">
      <t>キョウカイ</t>
    </rPh>
    <rPh sb="26" eb="28">
      <t>ハッピョウ</t>
    </rPh>
    <rPh sb="32" eb="33">
      <t>ト</t>
    </rPh>
    <phoneticPr fontId="17"/>
  </si>
  <si>
    <t>本資料における各項目の計算式は下記のとおりです。</t>
    <rPh sb="0" eb="1">
      <t>ホン</t>
    </rPh>
    <rPh sb="1" eb="3">
      <t>シリョウ</t>
    </rPh>
    <rPh sb="7" eb="8">
      <t>カク</t>
    </rPh>
    <rPh sb="8" eb="10">
      <t>コウモク</t>
    </rPh>
    <rPh sb="11" eb="13">
      <t>ケイサン</t>
    </rPh>
    <rPh sb="13" eb="14">
      <t>シキ</t>
    </rPh>
    <rPh sb="15" eb="17">
      <t>カキ</t>
    </rPh>
    <phoneticPr fontId="29"/>
  </si>
  <si>
    <t xml:space="preserve">* A total of five auctions were cancelled in March due to the 2011 off the Great East Japan Earthquake that occurred on March 11, 2011: </t>
    <phoneticPr fontId="17"/>
  </si>
  <si>
    <t>1</t>
    <phoneticPr fontId="29"/>
  </si>
  <si>
    <t>少数株主からの払込による収入</t>
    <rPh sb="0" eb="2">
      <t>ショウスウ</t>
    </rPh>
    <rPh sb="2" eb="4">
      <t>カブヌシ</t>
    </rPh>
    <rPh sb="7" eb="9">
      <t>ハライコミ</t>
    </rPh>
    <rPh sb="12" eb="14">
      <t>シュウニュウ</t>
    </rPh>
    <phoneticPr fontId="9"/>
  </si>
  <si>
    <t>連結子会社の株式発行による収入</t>
    <rPh sb="0" eb="2">
      <t>レンケツ</t>
    </rPh>
    <rPh sb="2" eb="5">
      <t>コガイシャ</t>
    </rPh>
    <rPh sb="6" eb="8">
      <t>カブシキ</t>
    </rPh>
    <rPh sb="8" eb="10">
      <t>ハッコウ</t>
    </rPh>
    <rPh sb="13" eb="15">
      <t>シュウニュウ</t>
    </rPh>
    <phoneticPr fontId="9"/>
  </si>
  <si>
    <t>自己株式の売却による収入</t>
  </si>
  <si>
    <t>自己株式の取得による支出</t>
    <rPh sb="5" eb="7">
      <t>シュトク</t>
    </rPh>
    <phoneticPr fontId="9"/>
  </si>
  <si>
    <t>Assets</t>
    <phoneticPr fontId="17"/>
  </si>
  <si>
    <t>Liabilities</t>
    <phoneticPr fontId="17"/>
  </si>
  <si>
    <t>有形固定資産の取得</t>
    <rPh sb="0" eb="6">
      <t>ユウケイコテイシサン</t>
    </rPh>
    <rPh sb="7" eb="9">
      <t>シュトク</t>
    </rPh>
    <phoneticPr fontId="17"/>
  </si>
  <si>
    <t>有形固定資産の売却</t>
    <rPh sb="0" eb="6">
      <t>ユウケイコテイシサン</t>
    </rPh>
    <rPh sb="7" eb="9">
      <t>バイキャク</t>
    </rPh>
    <phoneticPr fontId="17"/>
  </si>
  <si>
    <t>自動車保有台数</t>
    <phoneticPr fontId="17"/>
  </si>
  <si>
    <t>-</t>
    <phoneticPr fontId="17"/>
  </si>
  <si>
    <t>売上高</t>
    <rPh sb="0" eb="2">
      <t>ウリアゲ</t>
    </rPh>
    <rPh sb="2" eb="3">
      <t>タカ</t>
    </rPh>
    <phoneticPr fontId="17"/>
  </si>
  <si>
    <t>営業利益率</t>
    <rPh sb="0" eb="2">
      <t>エイギョウ</t>
    </rPh>
    <rPh sb="2" eb="4">
      <t>リエキ</t>
    </rPh>
    <rPh sb="4" eb="5">
      <t>リツ</t>
    </rPh>
    <phoneticPr fontId="17"/>
  </si>
  <si>
    <t>子会社による子会社自己株式取得による支出</t>
    <rPh sb="0" eb="3">
      <t>コガイシャ</t>
    </rPh>
    <rPh sb="6" eb="9">
      <t>コガイシャ</t>
    </rPh>
    <rPh sb="9" eb="11">
      <t>ジコ</t>
    </rPh>
    <rPh sb="11" eb="13">
      <t>カブシキ</t>
    </rPh>
    <rPh sb="13" eb="15">
      <t>シュトク</t>
    </rPh>
    <rPh sb="18" eb="20">
      <t>シシュツ</t>
    </rPh>
    <phoneticPr fontId="9"/>
  </si>
  <si>
    <t>配当金の支払額</t>
  </si>
  <si>
    <t>ファイナンス・リース債務の返済による支出</t>
    <rPh sb="10" eb="12">
      <t>サイム</t>
    </rPh>
    <rPh sb="13" eb="15">
      <t>ヘンサイ</t>
    </rPh>
    <rPh sb="18" eb="20">
      <t>シシュツ</t>
    </rPh>
    <phoneticPr fontId="9"/>
  </si>
  <si>
    <t>資産除去債務会計基準の適用に伴う影響額</t>
    <rPh sb="0" eb="2">
      <t>シサン</t>
    </rPh>
    <rPh sb="2" eb="4">
      <t>ジョキョ</t>
    </rPh>
    <rPh sb="4" eb="6">
      <t>サイム</t>
    </rPh>
    <rPh sb="6" eb="8">
      <t>カイケイ</t>
    </rPh>
    <rPh sb="8" eb="10">
      <t>キジュン</t>
    </rPh>
    <rPh sb="11" eb="13">
      <t>テキヨウ</t>
    </rPh>
    <rPh sb="14" eb="15">
      <t>トモナ</t>
    </rPh>
    <rPh sb="16" eb="18">
      <t>エイキョウ</t>
    </rPh>
    <rPh sb="18" eb="19">
      <t>ガク</t>
    </rPh>
    <phoneticPr fontId="9"/>
  </si>
  <si>
    <t>利息費用(資産除去債務)</t>
    <rPh sb="0" eb="2">
      <t>リソク</t>
    </rPh>
    <rPh sb="2" eb="4">
      <t>ヒヨウ</t>
    </rPh>
    <rPh sb="5" eb="7">
      <t>シサン</t>
    </rPh>
    <rPh sb="7" eb="9">
      <t>ジョキョ</t>
    </rPh>
    <rPh sb="9" eb="11">
      <t>サイム</t>
    </rPh>
    <phoneticPr fontId="9"/>
  </si>
  <si>
    <t>負ののれん発生益</t>
    <rPh sb="5" eb="7">
      <t>ハッセイ</t>
    </rPh>
    <rPh sb="7" eb="8">
      <t>エキ</t>
    </rPh>
    <phoneticPr fontId="9"/>
  </si>
  <si>
    <t>賞与引当金の増加額</t>
    <rPh sb="6" eb="8">
      <t>ゾウカ</t>
    </rPh>
    <phoneticPr fontId="14"/>
  </si>
  <si>
    <t>複合金融商品評価損</t>
    <rPh sb="0" eb="2">
      <t>フクゴウ</t>
    </rPh>
    <rPh sb="2" eb="4">
      <t>キンユウ</t>
    </rPh>
    <rPh sb="4" eb="6">
      <t>ショウヒン</t>
    </rPh>
    <rPh sb="6" eb="8">
      <t>ヒョウカ</t>
    </rPh>
    <rPh sb="8" eb="9">
      <t>ソン</t>
    </rPh>
    <phoneticPr fontId="9"/>
  </si>
  <si>
    <t>預り金増加額</t>
    <rPh sb="3" eb="5">
      <t>ゾウカ</t>
    </rPh>
    <phoneticPr fontId="14"/>
  </si>
  <si>
    <t>資産除去債務履行による支出</t>
    <rPh sb="0" eb="2">
      <t>シサン</t>
    </rPh>
    <rPh sb="2" eb="4">
      <t>ジョキョ</t>
    </rPh>
    <rPh sb="4" eb="6">
      <t>サイム</t>
    </rPh>
    <rPh sb="6" eb="8">
      <t>リコウ</t>
    </rPh>
    <rPh sb="11" eb="13">
      <t>シシュツ</t>
    </rPh>
    <phoneticPr fontId="9"/>
  </si>
  <si>
    <t>固定資産の解体撤去及び移設 による支出</t>
  </si>
  <si>
    <r>
      <t xml:space="preserve"> </t>
    </r>
    <r>
      <rPr>
        <sz val="10"/>
        <rFont val="ＭＳ ゴシック"/>
        <family val="3"/>
        <charset val="128"/>
      </rPr>
      <t xml:space="preserve">  なお、この作業をするにあたりCF計算書の貼り付け用の欄にあるセルAI21:AU21も非表示になるため、空欄のセルを挿入している。貼付けの際にこのセルに数値が入らないように注意すること。</t>
    </r>
    <rPh sb="8" eb="10">
      <t>サギョウ</t>
    </rPh>
    <rPh sb="19" eb="22">
      <t>ケイサンショ</t>
    </rPh>
    <rPh sb="23" eb="24">
      <t>ハ</t>
    </rPh>
    <rPh sb="25" eb="26">
      <t>ツ</t>
    </rPh>
    <rPh sb="27" eb="28">
      <t>ヨウ</t>
    </rPh>
    <rPh sb="29" eb="30">
      <t>ラン</t>
    </rPh>
    <rPh sb="45" eb="48">
      <t>ヒヒョウジ</t>
    </rPh>
    <rPh sb="54" eb="56">
      <t>クウラン</t>
    </rPh>
    <rPh sb="60" eb="62">
      <t>ソウニュウ</t>
    </rPh>
    <rPh sb="67" eb="69">
      <t>ハリツ</t>
    </rPh>
    <rPh sb="71" eb="72">
      <t>サイ</t>
    </rPh>
    <rPh sb="78" eb="80">
      <t>スウチ</t>
    </rPh>
    <rPh sb="81" eb="82">
      <t>ハイ</t>
    </rPh>
    <rPh sb="88" eb="90">
      <t>チュウイ</t>
    </rPh>
    <phoneticPr fontId="14"/>
  </si>
  <si>
    <t>過去10年
平均増減率</t>
    <rPh sb="0" eb="2">
      <t>カコ</t>
    </rPh>
    <rPh sb="4" eb="5">
      <t>ネン</t>
    </rPh>
    <rPh sb="6" eb="8">
      <t>ヘイキン</t>
    </rPh>
    <rPh sb="8" eb="10">
      <t>ゾウゲン</t>
    </rPh>
    <rPh sb="10" eb="11">
      <t>リツ</t>
    </rPh>
    <phoneticPr fontId="17"/>
  </si>
  <si>
    <t>2年</t>
    <rPh sb="1" eb="2">
      <t>ネン</t>
    </rPh>
    <phoneticPr fontId="17"/>
  </si>
  <si>
    <t>3年</t>
    <rPh sb="1" eb="2">
      <t>ネン</t>
    </rPh>
    <phoneticPr fontId="17"/>
  </si>
  <si>
    <t>4年</t>
    <rPh sb="1" eb="2">
      <t>ネン</t>
    </rPh>
    <phoneticPr fontId="17"/>
  </si>
  <si>
    <t>5年</t>
    <rPh sb="1" eb="2">
      <t>ネン</t>
    </rPh>
    <phoneticPr fontId="17"/>
  </si>
  <si>
    <t>6年</t>
    <rPh sb="1" eb="2">
      <t>ネン</t>
    </rPh>
    <phoneticPr fontId="17"/>
  </si>
  <si>
    <t>7年</t>
    <rPh sb="1" eb="2">
      <t>ネン</t>
    </rPh>
    <phoneticPr fontId="17"/>
  </si>
  <si>
    <t>8年</t>
    <rPh sb="1" eb="2">
      <t>ネン</t>
    </rPh>
    <phoneticPr fontId="17"/>
  </si>
  <si>
    <t>9年</t>
    <rPh sb="1" eb="2">
      <t>ネン</t>
    </rPh>
    <phoneticPr fontId="17"/>
  </si>
  <si>
    <t>10年</t>
    <rPh sb="2" eb="3">
      <t>ネン</t>
    </rPh>
    <phoneticPr fontId="17"/>
  </si>
  <si>
    <t>案１</t>
    <rPh sb="0" eb="1">
      <t>アン</t>
    </rPh>
    <phoneticPr fontId="17"/>
  </si>
  <si>
    <t>案２</t>
    <rPh sb="0" eb="1">
      <t>アン</t>
    </rPh>
    <phoneticPr fontId="17"/>
  </si>
  <si>
    <t>案３</t>
    <rPh sb="0" eb="1">
      <t>アン</t>
    </rPh>
    <phoneticPr fontId="17"/>
  </si>
  <si>
    <t>10年増減率の算出式調査の結果、案３(帝国データバンク方式）とする。</t>
    <rPh sb="2" eb="3">
      <t>ネン</t>
    </rPh>
    <rPh sb="3" eb="5">
      <t>ゾウゲン</t>
    </rPh>
    <rPh sb="5" eb="6">
      <t>リツ</t>
    </rPh>
    <rPh sb="7" eb="9">
      <t>サンシュツ</t>
    </rPh>
    <rPh sb="9" eb="10">
      <t>シキ</t>
    </rPh>
    <rPh sb="10" eb="12">
      <t>チョウサ</t>
    </rPh>
    <rPh sb="13" eb="15">
      <t>ケッカ</t>
    </rPh>
    <rPh sb="16" eb="17">
      <t>アン</t>
    </rPh>
    <rPh sb="19" eb="21">
      <t>テイコク</t>
    </rPh>
    <rPh sb="27" eb="29">
      <t>ホウシキ</t>
    </rPh>
    <phoneticPr fontId="17"/>
  </si>
  <si>
    <t>４．現金および現金同等物に係る換算差額</t>
    <rPh sb="13" eb="14">
      <t>カカワ</t>
    </rPh>
    <rPh sb="15" eb="17">
      <t>カンサン</t>
    </rPh>
    <rPh sb="17" eb="19">
      <t>サガク</t>
    </rPh>
    <phoneticPr fontId="9"/>
  </si>
  <si>
    <t>６．現金および現金同等物の期首残高</t>
  </si>
  <si>
    <t>有価証券の償還による収入</t>
    <rPh sb="5" eb="7">
      <t>ショウカン</t>
    </rPh>
    <phoneticPr fontId="14"/>
  </si>
  <si>
    <t>デリバティブ評価損</t>
    <rPh sb="6" eb="8">
      <t>ヒョウカ</t>
    </rPh>
    <rPh sb="8" eb="9">
      <t>ソン</t>
    </rPh>
    <phoneticPr fontId="9"/>
  </si>
  <si>
    <t>投資有価証券評価損</t>
    <rPh sb="0" eb="2">
      <t>トウシ</t>
    </rPh>
    <phoneticPr fontId="9"/>
  </si>
  <si>
    <t>関係会社株式評価損</t>
    <rPh sb="0" eb="2">
      <t>カンケイ</t>
    </rPh>
    <rPh sb="2" eb="4">
      <t>ガイシャ</t>
    </rPh>
    <rPh sb="4" eb="6">
      <t>カブシキ</t>
    </rPh>
    <rPh sb="6" eb="8">
      <t>ヒョウカ</t>
    </rPh>
    <rPh sb="8" eb="9">
      <t>ソン</t>
    </rPh>
    <phoneticPr fontId="9"/>
  </si>
  <si>
    <t>新株発行費</t>
  </si>
  <si>
    <t>社債発行費</t>
  </si>
  <si>
    <t>新株引受権戻入益</t>
  </si>
  <si>
    <t>持分変動損益</t>
    <rPh sb="4" eb="6">
      <t>ソンエキ</t>
    </rPh>
    <phoneticPr fontId="9"/>
  </si>
  <si>
    <t>関係会社株式取得による支出</t>
    <phoneticPr fontId="14"/>
  </si>
  <si>
    <t>債務免除益</t>
    <rPh sb="0" eb="2">
      <t>サイム</t>
    </rPh>
    <rPh sb="2" eb="4">
      <t>メンジョ</t>
    </rPh>
    <rPh sb="4" eb="5">
      <t>エキ</t>
    </rPh>
    <phoneticPr fontId="9"/>
  </si>
  <si>
    <t>役員賞与の支払額　</t>
  </si>
  <si>
    <t>　　　小計</t>
  </si>
  <si>
    <t>利息および配当金の受取額</t>
  </si>
  <si>
    <t>利息の支払額</t>
  </si>
  <si>
    <t>法人税等の支払額</t>
  </si>
  <si>
    <t>　　　　計</t>
  </si>
  <si>
    <t>２．投資活動によるキャッシュフロー</t>
  </si>
  <si>
    <t>有価証券の取得による支出</t>
  </si>
  <si>
    <t>有価証券の売却による収入</t>
  </si>
  <si>
    <t>有形固定資産の取得による支出</t>
  </si>
  <si>
    <t>有形固定資産の売却による収入</t>
  </si>
  <si>
    <t>無形固定資産の取得による支出</t>
  </si>
  <si>
    <t>無形固定資産の売却による収入</t>
  </si>
  <si>
    <t>投資有価証券の取得による支出</t>
  </si>
  <si>
    <t>投資有価証券の売却による収入</t>
  </si>
  <si>
    <t>差入保証金の差入による支出</t>
  </si>
  <si>
    <t>差入保証金の返還による収入</t>
  </si>
  <si>
    <t>長期前払費用の増加による支出</t>
  </si>
  <si>
    <t>長期前払費用の減少による収入</t>
    <rPh sb="12" eb="14">
      <t>シュウニュウ</t>
    </rPh>
    <phoneticPr fontId="9"/>
  </si>
  <si>
    <t>貸付による支出</t>
    <rPh sb="0" eb="2">
      <t>カシツケ</t>
    </rPh>
    <rPh sb="5" eb="7">
      <t>シシュツ</t>
    </rPh>
    <phoneticPr fontId="9"/>
  </si>
  <si>
    <t>３．財務活動によるキャッシュフロー</t>
  </si>
  <si>
    <t>短期借入による収入</t>
  </si>
  <si>
    <t>短期借入金の返済による支出</t>
  </si>
  <si>
    <t>長期借入による収入</t>
  </si>
  <si>
    <t>長期借入金の返済による支出</t>
  </si>
  <si>
    <t>預かり保証金の預かりによる収入</t>
  </si>
  <si>
    <t>預かり保証金の返還による支出</t>
  </si>
  <si>
    <t>社債の発行による収入</t>
  </si>
  <si>
    <t>社債の償還による支出</t>
  </si>
  <si>
    <t>株式の発行による収入</t>
  </si>
  <si>
    <t>主要ﾃﾞｰﾀ</t>
    <rPh sb="0" eb="2">
      <t>シュヨウ</t>
    </rPh>
    <phoneticPr fontId="14"/>
  </si>
  <si>
    <t>ゴルフ会員権評価損</t>
    <rPh sb="3" eb="6">
      <t>カイインケン</t>
    </rPh>
    <rPh sb="6" eb="8">
      <t>ヒョウカ</t>
    </rPh>
    <rPh sb="8" eb="9">
      <t>ソン</t>
    </rPh>
    <phoneticPr fontId="9"/>
  </si>
  <si>
    <t>投資不動産除売却損</t>
    <rPh sb="0" eb="2">
      <t>トウシ</t>
    </rPh>
    <rPh sb="2" eb="5">
      <t>フドウサン</t>
    </rPh>
    <rPh sb="5" eb="6">
      <t>ノゾ</t>
    </rPh>
    <rPh sb="6" eb="9">
      <t>バイキャクソン</t>
    </rPh>
    <phoneticPr fontId="14"/>
  </si>
  <si>
    <t>-</t>
    <phoneticPr fontId="14"/>
  </si>
  <si>
    <t>売上高</t>
    <rPh sb="0" eb="2">
      <t>ウリアゲ</t>
    </rPh>
    <rPh sb="2" eb="3">
      <t>ダカ</t>
    </rPh>
    <phoneticPr fontId="17"/>
  </si>
  <si>
    <t>営業利益</t>
    <rPh sb="0" eb="2">
      <t>エイギョウ</t>
    </rPh>
    <rPh sb="2" eb="4">
      <t>リエキ</t>
    </rPh>
    <phoneticPr fontId="17"/>
  </si>
  <si>
    <t>ラビット　ＦＣ店舗
Franchise Outlets
among Rabbit Chain Shops</t>
    <rPh sb="7" eb="9">
      <t>テンポ</t>
    </rPh>
    <phoneticPr fontId="14"/>
  </si>
  <si>
    <t>売上高
Net Sales</t>
    <rPh sb="0" eb="3">
      <t>ウリアゲダカ</t>
    </rPh>
    <phoneticPr fontId="18"/>
  </si>
  <si>
    <t>減価償却費</t>
    <rPh sb="0" eb="5">
      <t>ゲンカショウキャクヒ</t>
    </rPh>
    <phoneticPr fontId="23"/>
  </si>
  <si>
    <r>
      <t>■</t>
    </r>
    <r>
      <rPr>
        <sz val="10"/>
        <rFont val="ＭＳ ゴシック"/>
        <family val="3"/>
        <charset val="128"/>
      </rPr>
      <t xml:space="preserve"> 2008年3月期から2018年3月期にかけて営業活動によるキャッシュ･フローにおいて｢役員賞与の支払額｣が発生しなかったため、2018年3月期に15行目を非表示にした。</t>
    </r>
    <rPh sb="6" eb="7">
      <t>ネン</t>
    </rPh>
    <rPh sb="8" eb="10">
      <t>ガツキ</t>
    </rPh>
    <rPh sb="16" eb="17">
      <t>ネン</t>
    </rPh>
    <rPh sb="18" eb="20">
      <t>ガツキ</t>
    </rPh>
    <rPh sb="24" eb="26">
      <t>エイギョウ</t>
    </rPh>
    <rPh sb="26" eb="28">
      <t>カツドウ</t>
    </rPh>
    <rPh sb="45" eb="47">
      <t>ヤクイン</t>
    </rPh>
    <rPh sb="47" eb="49">
      <t>ショウヨ</t>
    </rPh>
    <rPh sb="50" eb="52">
      <t>シハライ</t>
    </rPh>
    <rPh sb="52" eb="53">
      <t>ガク</t>
    </rPh>
    <rPh sb="55" eb="57">
      <t>ハッセイ</t>
    </rPh>
    <rPh sb="69" eb="70">
      <t>ネン</t>
    </rPh>
    <rPh sb="71" eb="73">
      <t>ガツキ</t>
    </rPh>
    <rPh sb="76" eb="78">
      <t>ギョウメ</t>
    </rPh>
    <rPh sb="79" eb="82">
      <t>ヒヒョウジ</t>
    </rPh>
    <phoneticPr fontId="14"/>
  </si>
  <si>
    <t>■ 2018年3月期から、CF計算書のCF-WSシートの値を貼り付ける欄を集計欄に移動し、CF-WSシートの並び順に合わせる形で並び替えを行った。(使用していない欄は退避場所に移動した)</t>
    <rPh sb="6" eb="7">
      <t>ネン</t>
    </rPh>
    <rPh sb="8" eb="10">
      <t>ガツキ</t>
    </rPh>
    <rPh sb="15" eb="18">
      <t>ケイサンショ</t>
    </rPh>
    <rPh sb="28" eb="29">
      <t>アタイ</t>
    </rPh>
    <rPh sb="30" eb="31">
      <t>ハ</t>
    </rPh>
    <rPh sb="32" eb="33">
      <t>ツ</t>
    </rPh>
    <rPh sb="35" eb="36">
      <t>ラン</t>
    </rPh>
    <rPh sb="37" eb="39">
      <t>シュウケイ</t>
    </rPh>
    <rPh sb="39" eb="40">
      <t>ラン</t>
    </rPh>
    <rPh sb="41" eb="43">
      <t>イドウ</t>
    </rPh>
    <rPh sb="54" eb="55">
      <t>ナラ</t>
    </rPh>
    <rPh sb="56" eb="57">
      <t>ジュン</t>
    </rPh>
    <rPh sb="58" eb="59">
      <t>ア</t>
    </rPh>
    <rPh sb="62" eb="63">
      <t>カタチ</t>
    </rPh>
    <rPh sb="64" eb="65">
      <t>ナラ</t>
    </rPh>
    <rPh sb="66" eb="67">
      <t>カ</t>
    </rPh>
    <rPh sb="69" eb="70">
      <t>オコナ</t>
    </rPh>
    <rPh sb="74" eb="76">
      <t>シヨウ</t>
    </rPh>
    <rPh sb="81" eb="82">
      <t>ラン</t>
    </rPh>
    <rPh sb="83" eb="85">
      <t>タイヒ</t>
    </rPh>
    <rPh sb="85" eb="87">
      <t>バショ</t>
    </rPh>
    <rPh sb="88" eb="90">
      <t>イドウ</t>
    </rPh>
    <phoneticPr fontId="14"/>
  </si>
  <si>
    <t xml:space="preserve"> ⇒2019年3月期末まで財務活動によるキャッシュ･フローの｢株式の発行による収入｣が発生しなかった場合は非表示の処理をする。</t>
    <rPh sb="6" eb="7">
      <t>ネン</t>
    </rPh>
    <rPh sb="8" eb="10">
      <t>ガツキ</t>
    </rPh>
    <rPh sb="10" eb="11">
      <t>マツ</t>
    </rPh>
    <rPh sb="13" eb="15">
      <t>ザイム</t>
    </rPh>
    <rPh sb="15" eb="17">
      <t>カツドウ</t>
    </rPh>
    <rPh sb="31" eb="33">
      <t>カブシキ</t>
    </rPh>
    <rPh sb="34" eb="36">
      <t>ハッコウ</t>
    </rPh>
    <rPh sb="39" eb="41">
      <t>シュウニュウ</t>
    </rPh>
    <rPh sb="43" eb="45">
      <t>ハッセイ</t>
    </rPh>
    <rPh sb="50" eb="52">
      <t>バアイ</t>
    </rPh>
    <rPh sb="53" eb="56">
      <t>ヒヒョウジ</t>
    </rPh>
    <rPh sb="57" eb="59">
      <t>ショリ</t>
    </rPh>
    <phoneticPr fontId="14"/>
  </si>
  <si>
    <t>　■2017.3期の中古車買取販売の売上実績について報告数値が入力されていたため、2018年3月期に外部数値に修正した。(対外的に表示される内容には影響がない)</t>
    <rPh sb="8" eb="9">
      <t>キ</t>
    </rPh>
    <rPh sb="10" eb="12">
      <t>チュウコ</t>
    </rPh>
    <rPh sb="12" eb="13">
      <t>シャ</t>
    </rPh>
    <rPh sb="13" eb="15">
      <t>カイトリ</t>
    </rPh>
    <rPh sb="15" eb="17">
      <t>ハンバイ</t>
    </rPh>
    <rPh sb="18" eb="20">
      <t>ウリアゲ</t>
    </rPh>
    <rPh sb="20" eb="22">
      <t>ジッセキ</t>
    </rPh>
    <rPh sb="26" eb="28">
      <t>ホウコク</t>
    </rPh>
    <rPh sb="28" eb="30">
      <t>スウチ</t>
    </rPh>
    <rPh sb="31" eb="33">
      <t>ニュウリョク</t>
    </rPh>
    <rPh sb="45" eb="46">
      <t>ネン</t>
    </rPh>
    <rPh sb="47" eb="48">
      <t>ガツ</t>
    </rPh>
    <rPh sb="48" eb="49">
      <t>キ</t>
    </rPh>
    <rPh sb="50" eb="52">
      <t>ガイブ</t>
    </rPh>
    <rPh sb="52" eb="54">
      <t>スウチ</t>
    </rPh>
    <rPh sb="55" eb="57">
      <t>シュウセイ</t>
    </rPh>
    <rPh sb="61" eb="64">
      <t>タイガイテキ</t>
    </rPh>
    <rPh sb="65" eb="67">
      <t>ヒョウジ</t>
    </rPh>
    <rPh sb="70" eb="72">
      <t>ナイヨウ</t>
    </rPh>
    <rPh sb="74" eb="76">
      <t>エイキョウ</t>
    </rPh>
    <phoneticPr fontId="29"/>
  </si>
  <si>
    <t>再評価に係る繰延税金資産</t>
    <rPh sb="0" eb="3">
      <t>サイヒョウカ</t>
    </rPh>
    <rPh sb="4" eb="5">
      <t>カカ</t>
    </rPh>
    <rPh sb="6" eb="8">
      <t>クリノベ</t>
    </rPh>
    <rPh sb="8" eb="10">
      <t>ゼイキン</t>
    </rPh>
    <rPh sb="10" eb="12">
      <t>シサン</t>
    </rPh>
    <phoneticPr fontId="17"/>
  </si>
  <si>
    <t>オークション貸勘定</t>
    <rPh sb="6" eb="7">
      <t>カ</t>
    </rPh>
    <rPh sb="7" eb="9">
      <t>カンジョウ</t>
    </rPh>
    <phoneticPr fontId="17"/>
  </si>
  <si>
    <t>増減率</t>
    <rPh sb="0" eb="2">
      <t>ゾウゲン</t>
    </rPh>
    <rPh sb="2" eb="3">
      <t>リツ</t>
    </rPh>
    <phoneticPr fontId="14"/>
  </si>
  <si>
    <t>増減率</t>
    <rPh sb="0" eb="2">
      <t>ゾウゲン</t>
    </rPh>
    <rPh sb="2" eb="3">
      <t>リツ</t>
    </rPh>
    <phoneticPr fontId="17"/>
  </si>
  <si>
    <t>その他</t>
    <rPh sb="2" eb="3">
      <t>タ</t>
    </rPh>
    <phoneticPr fontId="14"/>
  </si>
  <si>
    <t>のれん償却額</t>
    <rPh sb="3" eb="6">
      <t>ショウキャクガク</t>
    </rPh>
    <phoneticPr fontId="17"/>
  </si>
  <si>
    <t>その他</t>
  </si>
  <si>
    <t xml:space="preserve">   one each at the Tokyo, Yokohama and Ryutsu auction sites and two at the Tohoku auction site.</t>
    <phoneticPr fontId="17"/>
  </si>
  <si>
    <t>3</t>
  </si>
  <si>
    <t>配当金の支払額</t>
    <rPh sb="0" eb="3">
      <t>ハイトウキン</t>
    </rPh>
    <rPh sb="4" eb="6">
      <t>シハライ</t>
    </rPh>
    <rPh sb="6" eb="7">
      <t>ガク</t>
    </rPh>
    <phoneticPr fontId="14"/>
  </si>
  <si>
    <t>現金および現金同等物の当期末残高</t>
    <phoneticPr fontId="14"/>
  </si>
  <si>
    <t>　Ⅰ営業活動によるキャッシュ・フロー</t>
  </si>
  <si>
    <t>　Ⅱ投資活動によるキャッシュ・フロー</t>
  </si>
  <si>
    <t>　Ⅲ財務活動によるキャッシュ・フロー</t>
  </si>
  <si>
    <t>　Ⅳ現金および現金同等物の増減額</t>
  </si>
  <si>
    <t>　Ⅴ現金および現金同等物の期首残高</t>
  </si>
  <si>
    <t>Vehicles</t>
  </si>
  <si>
    <t>Share</t>
  </si>
  <si>
    <t>2</t>
    <phoneticPr fontId="29"/>
  </si>
  <si>
    <t>3</t>
    <phoneticPr fontId="29"/>
  </si>
  <si>
    <t>3</t>
    <phoneticPr fontId="17"/>
  </si>
  <si>
    <t>2</t>
    <phoneticPr fontId="17"/>
  </si>
  <si>
    <t>現金および現金同等物の増減額</t>
    <rPh sb="0" eb="2">
      <t>ゲンキン</t>
    </rPh>
    <rPh sb="5" eb="7">
      <t>ゲンキン</t>
    </rPh>
    <rPh sb="7" eb="9">
      <t>ドウトウ</t>
    </rPh>
    <rPh sb="9" eb="10">
      <t>ブツ</t>
    </rPh>
    <rPh sb="11" eb="13">
      <t>ゾウゲン</t>
    </rPh>
    <rPh sb="13" eb="14">
      <t>ゾウカガク</t>
    </rPh>
    <phoneticPr fontId="17"/>
  </si>
  <si>
    <t>預り金</t>
    <rPh sb="0" eb="1">
      <t>アズカ</t>
    </rPh>
    <rPh sb="2" eb="3">
      <t>キン</t>
    </rPh>
    <phoneticPr fontId="24"/>
  </si>
  <si>
    <t>売上債権の増減額</t>
    <rPh sb="0" eb="2">
      <t>ウリアゲ</t>
    </rPh>
    <rPh sb="2" eb="4">
      <t>サイケン</t>
    </rPh>
    <rPh sb="5" eb="7">
      <t>ゾウゲン</t>
    </rPh>
    <rPh sb="7" eb="8">
      <t>ガク</t>
    </rPh>
    <phoneticPr fontId="17"/>
  </si>
  <si>
    <t>-</t>
    <phoneticPr fontId="17"/>
  </si>
  <si>
    <t>←連結からはずれ毎年当年度がゼロになるので表示しない</t>
    <rPh sb="1" eb="3">
      <t>レンケツ</t>
    </rPh>
    <rPh sb="8" eb="10">
      <t>マイトシ</t>
    </rPh>
    <rPh sb="10" eb="11">
      <t>トウ</t>
    </rPh>
    <rPh sb="11" eb="13">
      <t>ネンド</t>
    </rPh>
    <rPh sb="21" eb="23">
      <t>ヒョウジ</t>
    </rPh>
    <phoneticPr fontId="17"/>
  </si>
  <si>
    <t>中古自動車の輸出手続代行サービス</t>
    <phoneticPr fontId="29"/>
  </si>
  <si>
    <t>JBA</t>
    <phoneticPr fontId="17"/>
  </si>
  <si>
    <t>　Ⅵ現金および現金同等物の当期末残高</t>
    <phoneticPr fontId="14"/>
  </si>
  <si>
    <t>バイクオークション手数料</t>
    <phoneticPr fontId="29"/>
  </si>
  <si>
    <t>投資不動産売却益</t>
    <rPh sb="0" eb="2">
      <t>トウシ</t>
    </rPh>
    <rPh sb="2" eb="5">
      <t>フドウサン</t>
    </rPh>
    <rPh sb="5" eb="7">
      <t>バイキャク</t>
    </rPh>
    <rPh sb="7" eb="8">
      <t>エキ</t>
    </rPh>
    <phoneticPr fontId="14"/>
  </si>
  <si>
    <t>土壌汚染処理費用</t>
    <rPh sb="0" eb="2">
      <t>ドジョウ</t>
    </rPh>
    <rPh sb="2" eb="4">
      <t>オセン</t>
    </rPh>
    <rPh sb="4" eb="6">
      <t>ショリ</t>
    </rPh>
    <rPh sb="6" eb="8">
      <t>ヒヨウ</t>
    </rPh>
    <phoneticPr fontId="14"/>
  </si>
  <si>
    <t>EPS　＝　親会社株主に帰属する当期純利益÷期中平均株式数</t>
    <rPh sb="6" eb="9">
      <t>オヤガイシャ</t>
    </rPh>
    <rPh sb="9" eb="11">
      <t>カブヌシ</t>
    </rPh>
    <rPh sb="12" eb="14">
      <t>キゾク</t>
    </rPh>
    <rPh sb="16" eb="18">
      <t>トウキ</t>
    </rPh>
    <rPh sb="18" eb="21">
      <t>ジュンリエキ</t>
    </rPh>
    <phoneticPr fontId="29"/>
  </si>
  <si>
    <t>オークション借勘定</t>
    <phoneticPr fontId="17"/>
  </si>
  <si>
    <t>負債合計</t>
    <rPh sb="0" eb="2">
      <t>フサイ</t>
    </rPh>
    <phoneticPr fontId="17"/>
  </si>
  <si>
    <t>株主資本</t>
    <phoneticPr fontId="17"/>
  </si>
  <si>
    <t>資本金</t>
    <rPh sb="0" eb="3">
      <t>シホンキン</t>
    </rPh>
    <phoneticPr fontId="17"/>
  </si>
  <si>
    <t>純資産合計</t>
    <rPh sb="0" eb="1">
      <t>ジュン</t>
    </rPh>
    <phoneticPr fontId="17"/>
  </si>
  <si>
    <t>資産の部</t>
    <rPh sb="0" eb="2">
      <t>シサン</t>
    </rPh>
    <rPh sb="3" eb="4">
      <t>ブ</t>
    </rPh>
    <phoneticPr fontId="17"/>
  </si>
  <si>
    <t>負債の部</t>
    <rPh sb="0" eb="2">
      <t>フサイ</t>
    </rPh>
    <rPh sb="3" eb="4">
      <t>ブ</t>
    </rPh>
    <phoneticPr fontId="17"/>
  </si>
  <si>
    <t>純資産の部</t>
    <rPh sb="0" eb="3">
      <t>ジュンシサン</t>
    </rPh>
    <rPh sb="4" eb="5">
      <t>ブ</t>
    </rPh>
    <phoneticPr fontId="17"/>
  </si>
  <si>
    <t>負債・純資産合計</t>
    <rPh sb="0" eb="2">
      <t>フサイ</t>
    </rPh>
    <rPh sb="3" eb="4">
      <t>ジュン</t>
    </rPh>
    <phoneticPr fontId="17"/>
  </si>
  <si>
    <t>科  目</t>
    <phoneticPr fontId="17"/>
  </si>
  <si>
    <t>貸倒引当金</t>
    <phoneticPr fontId="17"/>
  </si>
  <si>
    <t>有形固定資産</t>
    <phoneticPr fontId="17"/>
  </si>
  <si>
    <t>無形固定資産</t>
    <phoneticPr fontId="17"/>
  </si>
  <si>
    <t>資産合計</t>
    <phoneticPr fontId="17"/>
  </si>
  <si>
    <t>未払法人税等</t>
    <phoneticPr fontId="24"/>
  </si>
  <si>
    <t>固定負債</t>
    <phoneticPr fontId="17"/>
  </si>
  <si>
    <t>預り保証金</t>
    <rPh sb="0" eb="1">
      <t>アズ</t>
    </rPh>
    <rPh sb="2" eb="5">
      <t>ホショウキン</t>
    </rPh>
    <phoneticPr fontId="24"/>
  </si>
  <si>
    <t>その他の固定負債</t>
    <rPh sb="0" eb="3">
      <t>ソノタ</t>
    </rPh>
    <rPh sb="4" eb="6">
      <t>コテイ</t>
    </rPh>
    <rPh sb="6" eb="8">
      <t>フサイ</t>
    </rPh>
    <phoneticPr fontId="24"/>
  </si>
  <si>
    <t>自己株式</t>
    <rPh sb="0" eb="4">
      <t>ジコカブシキ</t>
    </rPh>
    <phoneticPr fontId="24"/>
  </si>
  <si>
    <t>その他有価証券評価差額金</t>
    <rPh sb="0" eb="3">
      <t>ソノタ</t>
    </rPh>
    <rPh sb="3" eb="7">
      <t>ユウカショウケン</t>
    </rPh>
    <rPh sb="7" eb="9">
      <t>ヒョウカ</t>
    </rPh>
    <rPh sb="9" eb="11">
      <t>サガク</t>
    </rPh>
    <rPh sb="11" eb="12">
      <t>キン</t>
    </rPh>
    <phoneticPr fontId="24"/>
  </si>
  <si>
    <t>オークション勘定の増減額</t>
    <rPh sb="6" eb="8">
      <t>カンジョウ</t>
    </rPh>
    <rPh sb="9" eb="11">
      <t>ゾウゲン</t>
    </rPh>
    <rPh sb="11" eb="12">
      <t>ゾウカガク</t>
    </rPh>
    <phoneticPr fontId="17"/>
  </si>
  <si>
    <t>その他の流動資産</t>
    <rPh sb="0" eb="3">
      <t>ソノタ</t>
    </rPh>
    <rPh sb="4" eb="8">
      <t>リュウドウシサン</t>
    </rPh>
    <phoneticPr fontId="17"/>
  </si>
  <si>
    <t>建物および構築物</t>
    <rPh sb="0" eb="2">
      <t>タテモノ</t>
    </rPh>
    <rPh sb="5" eb="8">
      <t>コウチクブツ</t>
    </rPh>
    <phoneticPr fontId="17"/>
  </si>
  <si>
    <t>器具および備品</t>
    <rPh sb="0" eb="2">
      <t>キグ</t>
    </rPh>
    <rPh sb="5" eb="7">
      <t>ビヒン</t>
    </rPh>
    <phoneticPr fontId="17"/>
  </si>
  <si>
    <t>その他の有形固定資産</t>
    <rPh sb="2" eb="3">
      <t>タ</t>
    </rPh>
    <rPh sb="4" eb="6">
      <t>ユウケイ</t>
    </rPh>
    <rPh sb="6" eb="8">
      <t>コテイ</t>
    </rPh>
    <rPh sb="8" eb="10">
      <t>シサン</t>
    </rPh>
    <phoneticPr fontId="17"/>
  </si>
  <si>
    <t>投資その他の資産</t>
    <rPh sb="0" eb="2">
      <t>トウシ</t>
    </rPh>
    <rPh sb="2" eb="5">
      <t>ソノタ</t>
    </rPh>
    <rPh sb="6" eb="8">
      <t>シサン</t>
    </rPh>
    <phoneticPr fontId="17"/>
  </si>
  <si>
    <t>投資有価証券</t>
    <rPh sb="0" eb="6">
      <t>トウシユウカショウケン</t>
    </rPh>
    <phoneticPr fontId="17"/>
  </si>
  <si>
    <t>新株予約権</t>
    <rPh sb="0" eb="2">
      <t>シンカブ</t>
    </rPh>
    <rPh sb="2" eb="4">
      <t>ヨヤク</t>
    </rPh>
    <rPh sb="4" eb="5">
      <t>ケン</t>
    </rPh>
    <phoneticPr fontId="14"/>
  </si>
  <si>
    <t>(1)</t>
    <phoneticPr fontId="29"/>
  </si>
  <si>
    <t>-</t>
    <phoneticPr fontId="14"/>
  </si>
  <si>
    <t>-</t>
    <phoneticPr fontId="14"/>
  </si>
  <si>
    <t xml:space="preserve">Disclaimer Regarding Forward-looking Statements </t>
    <phoneticPr fontId="29"/>
  </si>
  <si>
    <t>USS Co.,Ltd.</t>
    <phoneticPr fontId="17"/>
  </si>
  <si>
    <t>その他</t>
    <rPh sb="0" eb="3">
      <t>ソノタ</t>
    </rPh>
    <phoneticPr fontId="17"/>
  </si>
  <si>
    <t>受取利息および受取配当金</t>
    <rPh sb="0" eb="4">
      <t>ウケトリリソク</t>
    </rPh>
    <rPh sb="7" eb="12">
      <t>ウケトリハイトウキン</t>
    </rPh>
    <phoneticPr fontId="17"/>
  </si>
  <si>
    <t>支払利息</t>
    <rPh sb="0" eb="4">
      <t>シハライリソク</t>
    </rPh>
    <phoneticPr fontId="17"/>
  </si>
  <si>
    <t>短期借入金純増減額</t>
    <rPh sb="0" eb="2">
      <t>タンキ</t>
    </rPh>
    <rPh sb="2" eb="4">
      <t>カリイレ</t>
    </rPh>
    <rPh sb="4" eb="5">
      <t>キン</t>
    </rPh>
    <rPh sb="5" eb="6">
      <t>ジュン</t>
    </rPh>
    <rPh sb="6" eb="8">
      <t>ゾウゲン</t>
    </rPh>
    <rPh sb="8" eb="9">
      <t>ゲンショウガク</t>
    </rPh>
    <phoneticPr fontId="17"/>
  </si>
  <si>
    <t>長期借入金純増減額</t>
    <rPh sb="0" eb="5">
      <t>チョウキカリイレキン</t>
    </rPh>
    <rPh sb="5" eb="6">
      <t>ジュン</t>
    </rPh>
    <rPh sb="6" eb="7">
      <t>ゾウ</t>
    </rPh>
    <rPh sb="7" eb="9">
      <t>ゲンガク</t>
    </rPh>
    <phoneticPr fontId="17"/>
  </si>
  <si>
    <t>株式の発行による収入</t>
    <rPh sb="0" eb="5">
      <t>カブシキハッコウ</t>
    </rPh>
    <rPh sb="8" eb="10">
      <t>シュウニュウ</t>
    </rPh>
    <phoneticPr fontId="17"/>
  </si>
  <si>
    <t>役員賞与の支払額</t>
    <rPh sb="0" eb="2">
      <t>ヤクイン</t>
    </rPh>
    <rPh sb="2" eb="4">
      <t>ショウヨ</t>
    </rPh>
    <rPh sb="5" eb="8">
      <t>シハライガク</t>
    </rPh>
    <phoneticPr fontId="17"/>
  </si>
  <si>
    <t>小計</t>
    <rPh sb="0" eb="2">
      <t>ショウケイ</t>
    </rPh>
    <phoneticPr fontId="17"/>
  </si>
  <si>
    <t>現金および現金同等物の期首残高</t>
    <rPh sb="0" eb="2">
      <t>ゲンキン</t>
    </rPh>
    <rPh sb="5" eb="7">
      <t>ゲンキン</t>
    </rPh>
    <rPh sb="7" eb="9">
      <t>ドウトウ</t>
    </rPh>
    <rPh sb="9" eb="10">
      <t>ブツ</t>
    </rPh>
    <rPh sb="11" eb="15">
      <t>キシュザンダカ</t>
    </rPh>
    <phoneticPr fontId="17"/>
  </si>
  <si>
    <t>自己株式の取得による支出</t>
    <rPh sb="0" eb="4">
      <t>ジコカブシキ</t>
    </rPh>
    <rPh sb="5" eb="7">
      <t>シュトク</t>
    </rPh>
    <rPh sb="10" eb="12">
      <t>シシュツ</t>
    </rPh>
    <phoneticPr fontId="17"/>
  </si>
  <si>
    <t>(2)</t>
  </si>
  <si>
    <t>(3)</t>
  </si>
  <si>
    <t>(4)</t>
  </si>
  <si>
    <t>(5)</t>
  </si>
  <si>
    <t>(6)</t>
  </si>
  <si>
    <t>(7)</t>
  </si>
  <si>
    <t>(8)</t>
  </si>
  <si>
    <t>(9)</t>
  </si>
  <si>
    <t>(10)</t>
  </si>
  <si>
    <t>(11)</t>
  </si>
  <si>
    <t>(12)</t>
  </si>
  <si>
    <t>＜注意事項＞</t>
    <rPh sb="1" eb="3">
      <t>チュウイ</t>
    </rPh>
    <rPh sb="3" eb="5">
      <t>ジコウ</t>
    </rPh>
    <phoneticPr fontId="14"/>
  </si>
  <si>
    <t>　■2019年3月期の中古自動車買取販売の営業利益が黒字だった場合は表から｢(損失)、(loss)｣をはずす</t>
    <rPh sb="6" eb="7">
      <t>ネン</t>
    </rPh>
    <rPh sb="8" eb="10">
      <t>ガツキ</t>
    </rPh>
    <rPh sb="11" eb="13">
      <t>チュウコ</t>
    </rPh>
    <rPh sb="13" eb="16">
      <t>ジドウシャ</t>
    </rPh>
    <rPh sb="16" eb="18">
      <t>カイトリ</t>
    </rPh>
    <rPh sb="18" eb="20">
      <t>ハンバイ</t>
    </rPh>
    <rPh sb="21" eb="23">
      <t>エイギョウ</t>
    </rPh>
    <rPh sb="23" eb="25">
      <t>リエキ</t>
    </rPh>
    <rPh sb="26" eb="28">
      <t>クロジ</t>
    </rPh>
    <rPh sb="31" eb="33">
      <t>バアイ</t>
    </rPh>
    <rPh sb="34" eb="35">
      <t>ヒョウ</t>
    </rPh>
    <rPh sb="39" eb="41">
      <t>ソンシツ</t>
    </rPh>
    <phoneticPr fontId="17"/>
  </si>
  <si>
    <t>＜データ入力用＞</t>
    <rPh sb="4" eb="6">
      <t>ニュウリョク</t>
    </rPh>
    <rPh sb="6" eb="7">
      <t>ヨウ</t>
    </rPh>
    <phoneticPr fontId="17"/>
  </si>
  <si>
    <t>＜グラフ作成用</t>
    <rPh sb="4" eb="7">
      <t>サクセイヨウ</t>
    </rPh>
    <phoneticPr fontId="17"/>
  </si>
  <si>
    <t>７．株式交換による新規連結子会社からの現金および現金同等物</t>
    <rPh sb="2" eb="4">
      <t>カブシキ</t>
    </rPh>
    <rPh sb="4" eb="6">
      <t>コウカン</t>
    </rPh>
    <rPh sb="9" eb="11">
      <t>シンキ</t>
    </rPh>
    <rPh sb="11" eb="13">
      <t>レンケツ</t>
    </rPh>
    <rPh sb="13" eb="16">
      <t>コガイシャ</t>
    </rPh>
    <rPh sb="19" eb="21">
      <t>ゲンキン</t>
    </rPh>
    <rPh sb="24" eb="26">
      <t>ゲンキン</t>
    </rPh>
    <rPh sb="26" eb="28">
      <t>ドウトウ</t>
    </rPh>
    <rPh sb="28" eb="29">
      <t>ブツ</t>
    </rPh>
    <phoneticPr fontId="9"/>
  </si>
  <si>
    <t>８．現金および現金同等物の期末残高</t>
  </si>
  <si>
    <t>連結調整勘定償却額</t>
  </si>
  <si>
    <t>親会社株主に帰属する当期純利益</t>
    <phoneticPr fontId="29"/>
  </si>
  <si>
    <t>-</t>
    <phoneticPr fontId="29"/>
  </si>
  <si>
    <t>　　　　　版40外部数値</t>
    <rPh sb="5" eb="6">
      <t>ハン</t>
    </rPh>
    <rPh sb="8" eb="10">
      <t>ガイブ</t>
    </rPh>
    <rPh sb="10" eb="12">
      <t>スウチ</t>
    </rPh>
    <phoneticPr fontId="29"/>
  </si>
  <si>
    <t>当資料取り扱い上の注意点</t>
  </si>
  <si>
    <t>※軽自動車からバス、トラックまでを含む台数を記載しております。</t>
    <rPh sb="1" eb="5">
      <t>ケイジドウシャ</t>
    </rPh>
    <rPh sb="17" eb="18">
      <t>フク</t>
    </rPh>
    <rPh sb="19" eb="21">
      <t>ダイスウ</t>
    </rPh>
    <rPh sb="22" eb="24">
      <t>キサイ</t>
    </rPh>
    <phoneticPr fontId="17"/>
  </si>
  <si>
    <t>当資料には将来見通しが含まれております。将来見通しは現在入手可能な情報から得られた当社の経営者の判断に基づいております。この将来見通しは仮定または仮定に基づく根拠が含まれており、環境によっては想定された事実や根拠は実際の結果とは異なる場合があります。当社または当社の経営者は将来の結果についての期待または確信を述べていますが、その期待や確信、あるいはそれに近い結果が実際に達成されるという保証はありません。また法令上、別途の定めがある場合を除き、当社はいかなる将来見通しも最新のものとする義務を負っておりません。</t>
    <phoneticPr fontId="29"/>
  </si>
  <si>
    <t>＜連結キャッシュ・フロー計算書（1次変換）＞</t>
    <rPh sb="1" eb="3">
      <t>レンケツ</t>
    </rPh>
    <rPh sb="12" eb="14">
      <t>ケイサン</t>
    </rPh>
    <rPh sb="14" eb="15">
      <t>ショ</t>
    </rPh>
    <rPh sb="17" eb="18">
      <t>ジ</t>
    </rPh>
    <rPh sb="18" eb="20">
      <t>ヘンカン</t>
    </rPh>
    <phoneticPr fontId="14"/>
  </si>
  <si>
    <t>複合金融商品評価益</t>
    <rPh sb="0" eb="2">
      <t>フクゴウ</t>
    </rPh>
    <rPh sb="2" eb="4">
      <t>キンユウ</t>
    </rPh>
    <rPh sb="4" eb="6">
      <t>ショウヒン</t>
    </rPh>
    <rPh sb="6" eb="8">
      <t>ヒョウカ</t>
    </rPh>
    <rPh sb="8" eb="9">
      <t>エキ</t>
    </rPh>
    <phoneticPr fontId="9"/>
  </si>
  <si>
    <t>連結子会社株式取得による支出</t>
    <rPh sb="0" eb="2">
      <t>レンケツ</t>
    </rPh>
    <rPh sb="2" eb="5">
      <t>コガイシャ</t>
    </rPh>
    <rPh sb="5" eb="7">
      <t>カブシキ</t>
    </rPh>
    <rPh sb="7" eb="9">
      <t>シュトク</t>
    </rPh>
    <rPh sb="12" eb="14">
      <t>シシュツ</t>
    </rPh>
    <phoneticPr fontId="9"/>
  </si>
  <si>
    <t>子会社の株式取得による支出</t>
    <rPh sb="0" eb="3">
      <t>コガイシャ</t>
    </rPh>
    <rPh sb="4" eb="6">
      <t>カブシキ</t>
    </rPh>
    <rPh sb="11" eb="13">
      <t>シシュツ</t>
    </rPh>
    <phoneticPr fontId="9"/>
  </si>
  <si>
    <t>貸付の回収による収入</t>
    <rPh sb="0" eb="2">
      <t>カシツケ</t>
    </rPh>
    <rPh sb="3" eb="5">
      <t>カイシュウ</t>
    </rPh>
    <rPh sb="8" eb="10">
      <t>シュウニュウ</t>
    </rPh>
    <phoneticPr fontId="9"/>
  </si>
  <si>
    <t>2014.3</t>
  </si>
  <si>
    <t>2015.3</t>
  </si>
  <si>
    <t>2016.3</t>
  </si>
  <si>
    <t>2017.3</t>
  </si>
  <si>
    <t>のれん償却額</t>
    <rPh sb="3" eb="6">
      <t>ショウキャクガク</t>
    </rPh>
    <phoneticPr fontId="9"/>
  </si>
  <si>
    <t>持分法投資損益</t>
    <rPh sb="6" eb="7">
      <t>エキ</t>
    </rPh>
    <phoneticPr fontId="9"/>
  </si>
  <si>
    <t>Avg YoY Change 
(10 year period)</t>
    <phoneticPr fontId="17"/>
  </si>
  <si>
    <t>実績</t>
    <rPh sb="0" eb="2">
      <t>ジッセキ</t>
    </rPh>
    <phoneticPr fontId="14"/>
  </si>
  <si>
    <t>計画</t>
    <rPh sb="0" eb="2">
      <t>ケイカク</t>
    </rPh>
    <phoneticPr fontId="14"/>
  </si>
  <si>
    <t>(オークション事業)</t>
    <rPh sb="7" eb="9">
      <t>ジギョウ</t>
    </rPh>
    <phoneticPr fontId="14"/>
  </si>
  <si>
    <t>出品手数料</t>
  </si>
  <si>
    <t>成約手数料</t>
  </si>
  <si>
    <t>落札手数料</t>
  </si>
  <si>
    <t>商品売上高</t>
    <rPh sb="0" eb="2">
      <t>ショウヒン</t>
    </rPh>
    <rPh sb="2" eb="4">
      <t>ウリアゲ</t>
    </rPh>
    <rPh sb="4" eb="5">
      <t>ダカ</t>
    </rPh>
    <phoneticPr fontId="14"/>
  </si>
  <si>
    <t>その他の営業収入</t>
  </si>
  <si>
    <t>オークション事業計</t>
  </si>
  <si>
    <t>(中古自動車卸販売事業)</t>
    <rPh sb="1" eb="3">
      <t>チュウコ</t>
    </rPh>
    <rPh sb="3" eb="6">
      <t>ジドウシャ</t>
    </rPh>
    <rPh sb="6" eb="9">
      <t>オロシハンバイ</t>
    </rPh>
    <rPh sb="9" eb="11">
      <t>ジギョウ</t>
    </rPh>
    <phoneticPr fontId="14"/>
  </si>
  <si>
    <t>中古車買取販売</t>
    <rPh sb="0" eb="3">
      <t>チュウコシャ</t>
    </rPh>
    <rPh sb="3" eb="5">
      <t>カイトリ</t>
    </rPh>
    <rPh sb="5" eb="7">
      <t>ハンバイ</t>
    </rPh>
    <phoneticPr fontId="14"/>
  </si>
  <si>
    <t>事故車買取販売</t>
    <rPh sb="0" eb="3">
      <t>ジコシャ</t>
    </rPh>
    <rPh sb="3" eb="5">
      <t>カイトリ</t>
    </rPh>
    <rPh sb="5" eb="7">
      <t>ハンバイ</t>
    </rPh>
    <phoneticPr fontId="14"/>
  </si>
  <si>
    <t>中古自動車卸販売事業計</t>
    <rPh sb="0" eb="2">
      <t>チュウコ</t>
    </rPh>
    <rPh sb="2" eb="5">
      <t>ジドウシャ</t>
    </rPh>
    <rPh sb="5" eb="8">
      <t>オロシハンバイ</t>
    </rPh>
    <rPh sb="8" eb="10">
      <t>ジギョウ</t>
    </rPh>
    <rPh sb="10" eb="11">
      <t>ケイ</t>
    </rPh>
    <phoneticPr fontId="14"/>
  </si>
  <si>
    <t>（その他の事業）</t>
    <rPh sb="3" eb="4">
      <t>タ</t>
    </rPh>
    <rPh sb="5" eb="7">
      <t>ジギョウ</t>
    </rPh>
    <phoneticPr fontId="14"/>
  </si>
  <si>
    <t>廃自動車等のリサイクル</t>
    <rPh sb="0" eb="1">
      <t>ハイ</t>
    </rPh>
    <rPh sb="1" eb="4">
      <t>ジドウシャ</t>
    </rPh>
    <rPh sb="4" eb="5">
      <t>トウ</t>
    </rPh>
    <phoneticPr fontId="14"/>
  </si>
  <si>
    <t>廃ゴムのリサイクル</t>
    <rPh sb="0" eb="1">
      <t>ハイ</t>
    </rPh>
    <phoneticPr fontId="14"/>
  </si>
  <si>
    <t>その他の事業計</t>
    <rPh sb="2" eb="3">
      <t>タ</t>
    </rPh>
    <rPh sb="4" eb="6">
      <t>ジギョウ</t>
    </rPh>
    <rPh sb="6" eb="7">
      <t>ケイ</t>
    </rPh>
    <phoneticPr fontId="14"/>
  </si>
  <si>
    <t>営業利益</t>
  </si>
  <si>
    <t>経常利益</t>
  </si>
  <si>
    <t>出品台数</t>
    <rPh sb="0" eb="2">
      <t>シュッピン</t>
    </rPh>
    <rPh sb="2" eb="4">
      <t>ダイスウ</t>
    </rPh>
    <phoneticPr fontId="14"/>
  </si>
  <si>
    <t>成約台数</t>
    <rPh sb="0" eb="2">
      <t>セイヤク</t>
    </rPh>
    <rPh sb="2" eb="4">
      <t>ダイスウ</t>
    </rPh>
    <phoneticPr fontId="14"/>
  </si>
  <si>
    <t>成約率</t>
    <rPh sb="0" eb="2">
      <t>セイヤク</t>
    </rPh>
    <rPh sb="2" eb="3">
      <t>リツ</t>
    </rPh>
    <phoneticPr fontId="14"/>
  </si>
  <si>
    <t>1台当たり出品手数料</t>
    <rPh sb="5" eb="7">
      <t>シュッピン</t>
    </rPh>
    <rPh sb="7" eb="10">
      <t>テスウリョウ</t>
    </rPh>
    <phoneticPr fontId="14"/>
  </si>
  <si>
    <t>1台当たり成約手数料</t>
    <rPh sb="5" eb="7">
      <t>セイヤク</t>
    </rPh>
    <rPh sb="7" eb="10">
      <t>テスウリョウ</t>
    </rPh>
    <phoneticPr fontId="14"/>
  </si>
  <si>
    <t>1台当たり落札手数料</t>
    <rPh sb="5" eb="7">
      <t>ラクサツ</t>
    </rPh>
    <rPh sb="7" eb="10">
      <t>テスウリョウ</t>
    </rPh>
    <phoneticPr fontId="14"/>
  </si>
  <si>
    <t>現車会員数</t>
    <rPh sb="0" eb="1">
      <t>ゲン</t>
    </rPh>
    <rPh sb="1" eb="2">
      <t>シャ</t>
    </rPh>
    <rPh sb="2" eb="5">
      <t>カイインスウ</t>
    </rPh>
    <phoneticPr fontId="14"/>
  </si>
  <si>
    <t>退職給付に係る調整累計額</t>
    <rPh sb="0" eb="2">
      <t>タイショク</t>
    </rPh>
    <rPh sb="2" eb="4">
      <t>キュウフ</t>
    </rPh>
    <rPh sb="5" eb="6">
      <t>カカ</t>
    </rPh>
    <rPh sb="7" eb="9">
      <t>チョウセイ</t>
    </rPh>
    <rPh sb="9" eb="11">
      <t>ルイケイ</t>
    </rPh>
    <rPh sb="11" eb="12">
      <t>ガク</t>
    </rPh>
    <phoneticPr fontId="14"/>
  </si>
  <si>
    <t>＜注意事項＞</t>
    <rPh sb="1" eb="3">
      <t>チュウイ</t>
    </rPh>
    <rPh sb="3" eb="5">
      <t>ジコウ</t>
    </rPh>
    <phoneticPr fontId="17"/>
  </si>
  <si>
    <t>　■2006年3月のラビットFC店舗数：有価証券報告書では322店舗とあるが、明らかに間違いのため、内部データである337店舗を採用する。</t>
    <rPh sb="6" eb="7">
      <t>ネン</t>
    </rPh>
    <rPh sb="8" eb="9">
      <t>ガツ</t>
    </rPh>
    <rPh sb="16" eb="18">
      <t>テンポ</t>
    </rPh>
    <rPh sb="18" eb="19">
      <t>スウ</t>
    </rPh>
    <rPh sb="20" eb="22">
      <t>ユウカ</t>
    </rPh>
    <rPh sb="22" eb="24">
      <t>ショウケン</t>
    </rPh>
    <rPh sb="24" eb="27">
      <t>ホウコクショ</t>
    </rPh>
    <rPh sb="32" eb="34">
      <t>テンポ</t>
    </rPh>
    <rPh sb="39" eb="40">
      <t>アキ</t>
    </rPh>
    <rPh sb="43" eb="45">
      <t>マチガ</t>
    </rPh>
    <rPh sb="50" eb="52">
      <t>ナイブ</t>
    </rPh>
    <rPh sb="61" eb="63">
      <t>テンポ</t>
    </rPh>
    <rPh sb="64" eb="66">
      <t>サイヨウ</t>
    </rPh>
    <phoneticPr fontId="17"/>
  </si>
  <si>
    <t>投資有価証券の償還による収入</t>
    <rPh sb="7" eb="9">
      <t>ショウカン</t>
    </rPh>
    <phoneticPr fontId="14"/>
  </si>
  <si>
    <t>UAE</t>
  </si>
  <si>
    <t>Chile</t>
  </si>
  <si>
    <t>データ入力欄</t>
    <rPh sb="3" eb="5">
      <t>ニュウリョク</t>
    </rPh>
    <rPh sb="5" eb="6">
      <t>ラン</t>
    </rPh>
    <phoneticPr fontId="14"/>
  </si>
  <si>
    <t>グラフ作成用</t>
    <rPh sb="3" eb="5">
      <t>サクセイ</t>
    </rPh>
    <rPh sb="5" eb="6">
      <t>ヨウ</t>
    </rPh>
    <phoneticPr fontId="14"/>
  </si>
  <si>
    <t>(YoY changes)</t>
    <phoneticPr fontId="17"/>
  </si>
  <si>
    <t>ラビット　店舗計</t>
    <rPh sb="5" eb="7">
      <t>テンポ</t>
    </rPh>
    <rPh sb="7" eb="8">
      <t>ケイ</t>
    </rPh>
    <phoneticPr fontId="14"/>
  </si>
  <si>
    <t>1台当たり出品（成約、落札）手数料　＝　連結相殺前出品（成約、落札）手数料÷出品（成約）台数</t>
    <rPh sb="1" eb="2">
      <t>ダイ</t>
    </rPh>
    <rPh sb="2" eb="3">
      <t>ア</t>
    </rPh>
    <rPh sb="5" eb="7">
      <t>シュッピン</t>
    </rPh>
    <rPh sb="8" eb="10">
      <t>セイヤク</t>
    </rPh>
    <rPh sb="11" eb="13">
      <t>ラクサツ</t>
    </rPh>
    <rPh sb="14" eb="17">
      <t>テスウリョウ</t>
    </rPh>
    <rPh sb="20" eb="22">
      <t>レンケツ</t>
    </rPh>
    <rPh sb="22" eb="24">
      <t>ソウサイ</t>
    </rPh>
    <rPh sb="24" eb="25">
      <t>マエ</t>
    </rPh>
    <rPh sb="25" eb="27">
      <t>シュッピン</t>
    </rPh>
    <rPh sb="28" eb="30">
      <t>セイヤク</t>
    </rPh>
    <rPh sb="31" eb="33">
      <t>ラクサツ</t>
    </rPh>
    <rPh sb="34" eb="37">
      <t>テスウリョウ</t>
    </rPh>
    <rPh sb="38" eb="40">
      <t>シュッピン</t>
    </rPh>
    <rPh sb="41" eb="43">
      <t>セイヤク</t>
    </rPh>
    <rPh sb="44" eb="46">
      <t>ダイスウ</t>
    </rPh>
    <phoneticPr fontId="29"/>
  </si>
  <si>
    <t>4月</t>
    <rPh sb="1" eb="2">
      <t>ガツ</t>
    </rPh>
    <phoneticPr fontId="17"/>
  </si>
  <si>
    <t>5月</t>
    <rPh sb="1" eb="2">
      <t>ガツ</t>
    </rPh>
    <phoneticPr fontId="17"/>
  </si>
  <si>
    <t>6月</t>
  </si>
  <si>
    <t>7月</t>
  </si>
  <si>
    <t>8月</t>
  </si>
  <si>
    <t>9月</t>
  </si>
  <si>
    <t>10月</t>
  </si>
  <si>
    <t>11月</t>
  </si>
  <si>
    <t>12月</t>
  </si>
  <si>
    <t>1月</t>
  </si>
  <si>
    <t>2月</t>
  </si>
  <si>
    <t>3月</t>
  </si>
  <si>
    <t>売上総利益率</t>
    <rPh sb="0" eb="2">
      <t>ウリアゲ</t>
    </rPh>
    <rPh sb="2" eb="5">
      <t>ソウリエキ</t>
    </rPh>
    <rPh sb="5" eb="6">
      <t>リツ</t>
    </rPh>
    <phoneticPr fontId="18"/>
  </si>
  <si>
    <t>販売費および一般管理費率</t>
    <rPh sb="0" eb="3">
      <t>ハンバイヒ</t>
    </rPh>
    <rPh sb="6" eb="8">
      <t>イッパン</t>
    </rPh>
    <rPh sb="8" eb="11">
      <t>カンリヒ</t>
    </rPh>
    <rPh sb="11" eb="12">
      <t>リツ</t>
    </rPh>
    <phoneticPr fontId="18"/>
  </si>
  <si>
    <t>営業利益率</t>
    <rPh sb="0" eb="2">
      <t>エイギョウ</t>
    </rPh>
    <rPh sb="2" eb="4">
      <t>リエキ</t>
    </rPh>
    <rPh sb="4" eb="5">
      <t>リツ</t>
    </rPh>
    <phoneticPr fontId="18"/>
  </si>
  <si>
    <t>法人税率</t>
    <rPh sb="3" eb="4">
      <t>リツ</t>
    </rPh>
    <phoneticPr fontId="18"/>
  </si>
  <si>
    <t>科　　　　目</t>
    <phoneticPr fontId="14"/>
  </si>
  <si>
    <t>その他</t>
    <rPh sb="2" eb="3">
      <t>タ</t>
    </rPh>
    <phoneticPr fontId="17"/>
  </si>
  <si>
    <t>非支配株主帰属当期純利益又は損失</t>
    <rPh sb="0" eb="3">
      <t>ヒシハイ</t>
    </rPh>
    <rPh sb="3" eb="5">
      <t>カブヌシ</t>
    </rPh>
    <rPh sb="5" eb="7">
      <t>キゾク</t>
    </rPh>
    <rPh sb="7" eb="9">
      <t>トウキ</t>
    </rPh>
    <rPh sb="9" eb="12">
      <t>ジュンリエキ</t>
    </rPh>
    <rPh sb="12" eb="13">
      <t>マタ</t>
    </rPh>
    <rPh sb="14" eb="16">
      <t>ソンシツ</t>
    </rPh>
    <phoneticPr fontId="18"/>
  </si>
  <si>
    <t>　■2016.3期のDATABOOK作成時に、社債の行を削除すること</t>
    <rPh sb="8" eb="9">
      <t>キ</t>
    </rPh>
    <rPh sb="18" eb="20">
      <t>サクセイ</t>
    </rPh>
    <rPh sb="20" eb="21">
      <t>ジ</t>
    </rPh>
    <rPh sb="23" eb="25">
      <t>シャサイ</t>
    </rPh>
    <rPh sb="26" eb="27">
      <t>ギョウ</t>
    </rPh>
    <rPh sb="28" eb="30">
      <t>サクジョ</t>
    </rPh>
    <phoneticPr fontId="17"/>
  </si>
  <si>
    <t>Net Assets</t>
    <phoneticPr fontId="17"/>
  </si>
  <si>
    <t>事故現状車買取販売
Revenues from Accident-damaged Vehicle Sales/Purchases</t>
    <phoneticPr fontId="17"/>
  </si>
  <si>
    <t>-</t>
    <phoneticPr fontId="17"/>
  </si>
  <si>
    <t>ラビット　直営店舗
Directly Operated Outlets
among Rabbit Chain Shops</t>
    <rPh sb="5" eb="7">
      <t>チョクエイ</t>
    </rPh>
    <rPh sb="7" eb="9">
      <t>テンポ</t>
    </rPh>
    <phoneticPr fontId="14"/>
  </si>
  <si>
    <t>VS. Prev. year</t>
  </si>
  <si>
    <t xml:space="preserve">   以後、集計欄をCF-WSシートの並び順にあわせてから値貼付を行う</t>
    <rPh sb="3" eb="5">
      <t>イゴ</t>
    </rPh>
    <rPh sb="6" eb="8">
      <t>シュウケイ</t>
    </rPh>
    <rPh sb="8" eb="9">
      <t>ラン</t>
    </rPh>
    <rPh sb="19" eb="20">
      <t>ナラ</t>
    </rPh>
    <rPh sb="21" eb="22">
      <t>ジュン</t>
    </rPh>
    <rPh sb="29" eb="30">
      <t>アタイ</t>
    </rPh>
    <rPh sb="30" eb="32">
      <t>ハリツケ</t>
    </rPh>
    <rPh sb="33" eb="34">
      <t>オコナ</t>
    </rPh>
    <phoneticPr fontId="14"/>
  </si>
  <si>
    <t>未払金の増減額</t>
    <rPh sb="0" eb="1">
      <t>ミ</t>
    </rPh>
    <rPh sb="1" eb="2">
      <t>バライ</t>
    </rPh>
    <rPh sb="2" eb="3">
      <t>キン</t>
    </rPh>
    <rPh sb="4" eb="7">
      <t>ゾウゲンガク</t>
    </rPh>
    <phoneticPr fontId="14"/>
  </si>
  <si>
    <t>版10外部数値</t>
    <rPh sb="0" eb="1">
      <t>ハン</t>
    </rPh>
    <rPh sb="3" eb="5">
      <t>ガイブ</t>
    </rPh>
    <rPh sb="5" eb="7">
      <t>スウチ</t>
    </rPh>
    <phoneticPr fontId="29"/>
  </si>
  <si>
    <t>合計</t>
    <rPh sb="0" eb="2">
      <t>ゴウケイ</t>
    </rPh>
    <phoneticPr fontId="17"/>
  </si>
  <si>
    <t>流動資産</t>
  </si>
  <si>
    <t>固定資産</t>
  </si>
  <si>
    <t>貸倒引当金</t>
  </si>
  <si>
    <t>営業外収益</t>
  </si>
  <si>
    <t>土地</t>
  </si>
  <si>
    <t>営業外費用</t>
    <phoneticPr fontId="18"/>
  </si>
  <si>
    <t>経常利益</t>
    <phoneticPr fontId="18"/>
  </si>
  <si>
    <t>特別利益</t>
    <phoneticPr fontId="18"/>
  </si>
  <si>
    <t>特別損失</t>
    <phoneticPr fontId="18"/>
  </si>
  <si>
    <t>-</t>
  </si>
  <si>
    <t>（単位：百万円）</t>
    <phoneticPr fontId="17"/>
  </si>
  <si>
    <t>営業活動によるキャッシュ・フロー</t>
    <rPh sb="0" eb="2">
      <t>エイギョウ</t>
    </rPh>
    <rPh sb="2" eb="4">
      <t>カツドウ</t>
    </rPh>
    <phoneticPr fontId="17"/>
  </si>
  <si>
    <t>投資活動によるキャッシュ・フロー</t>
    <rPh sb="0" eb="4">
      <t>トウシカツドウ</t>
    </rPh>
    <phoneticPr fontId="17"/>
  </si>
  <si>
    <t>財務活動によるキャッシュ・フロー</t>
    <rPh sb="0" eb="2">
      <t>ザイム</t>
    </rPh>
    <rPh sb="2" eb="4">
      <t>カツドウ</t>
    </rPh>
    <phoneticPr fontId="17"/>
  </si>
  <si>
    <t>販売費および一般管理費</t>
    <rPh sb="0" eb="3">
      <t>ハンバイヒ</t>
    </rPh>
    <rPh sb="6" eb="8">
      <t>イッパン</t>
    </rPh>
    <rPh sb="8" eb="11">
      <t>カンリヒ</t>
    </rPh>
    <phoneticPr fontId="18"/>
  </si>
  <si>
    <t>資本剰余金</t>
    <rPh sb="0" eb="2">
      <t>シホン</t>
    </rPh>
    <rPh sb="2" eb="5">
      <t>ジョウヨキン</t>
    </rPh>
    <phoneticPr fontId="24"/>
  </si>
  <si>
    <t>http://www.ussnet.co.jp</t>
    <phoneticPr fontId="14"/>
  </si>
  <si>
    <t>機械装置および運搬具</t>
    <rPh sb="7" eb="9">
      <t>ウンパン</t>
    </rPh>
    <rPh sb="9" eb="10">
      <t>グ</t>
    </rPh>
    <phoneticPr fontId="14"/>
  </si>
  <si>
    <t>利益剰余金</t>
    <rPh sb="0" eb="2">
      <t>リエキ</t>
    </rPh>
    <rPh sb="2" eb="5">
      <t>ジョウヨキン</t>
    </rPh>
    <phoneticPr fontId="24"/>
  </si>
  <si>
    <t>土地再評価差額金</t>
    <rPh sb="0" eb="2">
      <t>トチ</t>
    </rPh>
    <rPh sb="2" eb="5">
      <t>サイヒョウカ</t>
    </rPh>
    <rPh sb="5" eb="7">
      <t>サガク</t>
    </rPh>
    <rPh sb="7" eb="8">
      <t>キン</t>
    </rPh>
    <phoneticPr fontId="14"/>
  </si>
  <si>
    <t>その他の支払額</t>
    <rPh sb="2" eb="3">
      <t>タ</t>
    </rPh>
    <rPh sb="4" eb="6">
      <t>シハライ</t>
    </rPh>
    <rPh sb="6" eb="7">
      <t>ガク</t>
    </rPh>
    <phoneticPr fontId="14"/>
  </si>
  <si>
    <t>-</t>
    <phoneticPr fontId="17"/>
  </si>
  <si>
    <t>法人税等</t>
    <rPh sb="3" eb="4">
      <t>トウ</t>
    </rPh>
    <phoneticPr fontId="18"/>
  </si>
  <si>
    <t>減価償却費およびその他の償却費</t>
    <rPh sb="0" eb="4">
      <t>ゲンカショウキャク</t>
    </rPh>
    <rPh sb="4" eb="5">
      <t>ヒ</t>
    </rPh>
    <rPh sb="10" eb="11">
      <t>タ</t>
    </rPh>
    <rPh sb="12" eb="15">
      <t>ショウキャクヒ</t>
    </rPh>
    <phoneticPr fontId="17"/>
  </si>
  <si>
    <t>2</t>
  </si>
  <si>
    <t>段階取得に係る差益</t>
    <rPh sb="0" eb="2">
      <t>ダンカイ</t>
    </rPh>
    <rPh sb="2" eb="4">
      <t>シュトク</t>
    </rPh>
    <rPh sb="5" eb="6">
      <t>カカ</t>
    </rPh>
    <rPh sb="7" eb="9">
      <t>サエキ</t>
    </rPh>
    <phoneticPr fontId="14"/>
  </si>
  <si>
    <t>子会社株式売却損</t>
    <rPh sb="0" eb="3">
      <t>コガイシャ</t>
    </rPh>
    <rPh sb="3" eb="5">
      <t>カブシキ</t>
    </rPh>
    <rPh sb="5" eb="8">
      <t>バイキャクソン</t>
    </rPh>
    <phoneticPr fontId="14"/>
  </si>
  <si>
    <t>自己株式取得のための金銭の信託の増減額</t>
    <rPh sb="0" eb="2">
      <t>ジコ</t>
    </rPh>
    <rPh sb="2" eb="4">
      <t>カブシキ</t>
    </rPh>
    <rPh sb="4" eb="6">
      <t>シュトク</t>
    </rPh>
    <rPh sb="10" eb="12">
      <t>キンセン</t>
    </rPh>
    <rPh sb="13" eb="15">
      <t>シンタク</t>
    </rPh>
    <rPh sb="16" eb="19">
      <t>ゾウゲンガク</t>
    </rPh>
    <phoneticPr fontId="14"/>
  </si>
  <si>
    <t>連結の範囲の変更を伴う子会社株式売却による収入</t>
    <rPh sb="0" eb="2">
      <t>レンケツ</t>
    </rPh>
    <rPh sb="3" eb="5">
      <t>ハンイ</t>
    </rPh>
    <rPh sb="6" eb="8">
      <t>ヘンコウ</t>
    </rPh>
    <rPh sb="9" eb="10">
      <t>トモナ</t>
    </rPh>
    <rPh sb="11" eb="14">
      <t>コガイシャ</t>
    </rPh>
    <rPh sb="14" eb="16">
      <t>カブシキ</t>
    </rPh>
    <rPh sb="16" eb="18">
      <t>バイキャク</t>
    </rPh>
    <rPh sb="21" eb="23">
      <t>シュウニュウ</t>
    </rPh>
    <phoneticPr fontId="9"/>
  </si>
  <si>
    <t>連結の範囲の変更を伴う子会社株式取得による支出</t>
    <rPh sb="0" eb="2">
      <t>レンケツ</t>
    </rPh>
    <rPh sb="3" eb="5">
      <t>ハンイ</t>
    </rPh>
    <rPh sb="6" eb="8">
      <t>ヘンコウ</t>
    </rPh>
    <rPh sb="9" eb="10">
      <t>トモナ</t>
    </rPh>
    <rPh sb="11" eb="14">
      <t>コガイシャ</t>
    </rPh>
    <rPh sb="14" eb="16">
      <t>カブシキ</t>
    </rPh>
    <rPh sb="21" eb="23">
      <t>シシュツ</t>
    </rPh>
    <phoneticPr fontId="9"/>
  </si>
  <si>
    <t>非支配株主持分</t>
    <rPh sb="0" eb="1">
      <t>ヒ</t>
    </rPh>
    <rPh sb="1" eb="3">
      <t>シハイ</t>
    </rPh>
    <rPh sb="3" eb="5">
      <t>カブヌシ</t>
    </rPh>
    <rPh sb="5" eb="7">
      <t>モチブン</t>
    </rPh>
    <phoneticPr fontId="24"/>
  </si>
  <si>
    <t>売電事業+ﾚﾝﾀｶｰ事業</t>
    <rPh sb="0" eb="2">
      <t>バイデン</t>
    </rPh>
    <rPh sb="2" eb="4">
      <t>ジギョウ</t>
    </rPh>
    <rPh sb="10" eb="12">
      <t>ジギョウ</t>
    </rPh>
    <phoneticPr fontId="29"/>
  </si>
  <si>
    <t>←10年になるまで毎年計算式を見直すこと。</t>
    <rPh sb="3" eb="4">
      <t>ネン</t>
    </rPh>
    <rPh sb="9" eb="11">
      <t>マイトシ</t>
    </rPh>
    <rPh sb="11" eb="13">
      <t>ケイサン</t>
    </rPh>
    <rPh sb="13" eb="14">
      <t>シキ</t>
    </rPh>
    <rPh sb="15" eb="17">
      <t>ミナオ</t>
    </rPh>
    <phoneticPr fontId="17"/>
  </si>
  <si>
    <t>登録車</t>
    <rPh sb="0" eb="2">
      <t>トウロク</t>
    </rPh>
    <rPh sb="2" eb="3">
      <t>クルマ</t>
    </rPh>
    <phoneticPr fontId="17"/>
  </si>
  <si>
    <t>のれん</t>
  </si>
  <si>
    <t>-</t>
    <phoneticPr fontId="17"/>
  </si>
  <si>
    <t>売上高</t>
    <rPh sb="0" eb="3">
      <t>ウリアゲダカ</t>
    </rPh>
    <phoneticPr fontId="18"/>
  </si>
  <si>
    <t>売上原価</t>
    <rPh sb="0" eb="2">
      <t>ウリアゲ</t>
    </rPh>
    <rPh sb="2" eb="4">
      <t>ゲンカ</t>
    </rPh>
    <phoneticPr fontId="18"/>
  </si>
  <si>
    <t>売上総利益</t>
    <rPh sb="0" eb="2">
      <t>ウリアゲ</t>
    </rPh>
    <rPh sb="2" eb="5">
      <t>ソウリエキ</t>
    </rPh>
    <phoneticPr fontId="18"/>
  </si>
  <si>
    <t>営業利益</t>
    <rPh sb="0" eb="2">
      <t>エイギョウ</t>
    </rPh>
    <rPh sb="2" eb="4">
      <t>リエキ</t>
    </rPh>
    <phoneticPr fontId="18"/>
  </si>
  <si>
    <t>繰延税金資産</t>
    <rPh sb="0" eb="2">
      <t>クリノベ</t>
    </rPh>
    <rPh sb="2" eb="4">
      <t>ゼイキン</t>
    </rPh>
    <rPh sb="4" eb="6">
      <t>シサン</t>
    </rPh>
    <phoneticPr fontId="17"/>
  </si>
  <si>
    <t>-</t>
    <phoneticPr fontId="17"/>
  </si>
  <si>
    <t>VS. Prev. year</t>
    <phoneticPr fontId="17"/>
  </si>
  <si>
    <t>JAA</t>
  </si>
  <si>
    <r>
      <t>■</t>
    </r>
    <r>
      <rPr>
        <sz val="10"/>
        <rFont val="ＭＳ ゴシック"/>
        <family val="3"/>
        <charset val="128"/>
      </rPr>
      <t xml:space="preserve"> 2007年3月期から2017年3月期にかけて営業活動によるキャッシュ･フローにおいて小計の下にある｢その他の支払額｣が発生しなかったため、2017年3月期に21行目を非表示にした。</t>
    </r>
    <rPh sb="6" eb="7">
      <t>ネン</t>
    </rPh>
    <rPh sb="8" eb="10">
      <t>ガツキ</t>
    </rPh>
    <rPh sb="16" eb="17">
      <t>ネン</t>
    </rPh>
    <rPh sb="18" eb="20">
      <t>ガツキ</t>
    </rPh>
    <rPh sb="24" eb="26">
      <t>エイギョウ</t>
    </rPh>
    <rPh sb="26" eb="28">
      <t>カツドウ</t>
    </rPh>
    <rPh sb="44" eb="46">
      <t>ショウケイ</t>
    </rPh>
    <rPh sb="47" eb="48">
      <t>シタ</t>
    </rPh>
    <rPh sb="54" eb="55">
      <t>タ</t>
    </rPh>
    <rPh sb="56" eb="58">
      <t>シハライ</t>
    </rPh>
    <rPh sb="58" eb="59">
      <t>ガク</t>
    </rPh>
    <rPh sb="61" eb="63">
      <t>ハッセイ</t>
    </rPh>
    <rPh sb="75" eb="76">
      <t>ネン</t>
    </rPh>
    <rPh sb="77" eb="79">
      <t>ガツキ</t>
    </rPh>
    <rPh sb="82" eb="84">
      <t>ギョウメ</t>
    </rPh>
    <rPh sb="85" eb="88">
      <t>ヒヒョウジ</t>
    </rPh>
    <phoneticPr fontId="14"/>
  </si>
  <si>
    <t>2013.3</t>
  </si>
  <si>
    <t>2018.3</t>
  </si>
  <si>
    <t>Mongolia</t>
    <phoneticPr fontId="17"/>
  </si>
  <si>
    <t>HAA Kobe</t>
  </si>
  <si>
    <t>Tokyo</t>
  </si>
  <si>
    <t>Nagoya</t>
  </si>
  <si>
    <t>Kyushu</t>
  </si>
  <si>
    <t>Yokohama</t>
  </si>
  <si>
    <t>Sapporo</t>
  </si>
  <si>
    <t>R-Nagoya</t>
  </si>
  <si>
    <t>Osaka</t>
  </si>
  <si>
    <t>Shizuoka</t>
  </si>
  <si>
    <t>Kobe</t>
  </si>
  <si>
    <t>Okayama</t>
  </si>
  <si>
    <t>Gunma</t>
  </si>
  <si>
    <t>Tohoku</t>
  </si>
  <si>
    <t>Saitama</t>
  </si>
  <si>
    <t>Niigata</t>
  </si>
  <si>
    <t>Fukuoka</t>
  </si>
  <si>
    <t>Hokuriku</t>
  </si>
  <si>
    <t>2019.3</t>
  </si>
  <si>
    <t>各勘定科目の英訳は毎年最新のタクソノミをチェックして更新する</t>
    <rPh sb="0" eb="3">
      <t>カクカンジョウ</t>
    </rPh>
    <rPh sb="3" eb="5">
      <t>カモク</t>
    </rPh>
    <rPh sb="6" eb="8">
      <t>エイヤク</t>
    </rPh>
    <rPh sb="9" eb="11">
      <t>マイトシ</t>
    </rPh>
    <rPh sb="11" eb="13">
      <t>サイシン</t>
    </rPh>
    <rPh sb="26" eb="28">
      <t>コウシン</t>
    </rPh>
    <phoneticPr fontId="14"/>
  </si>
  <si>
    <t>2019年3月期修正：特別損失英訳 Extraordinary Loss→Extraordinary Losses</t>
    <rPh sb="4" eb="5">
      <t>ネン</t>
    </rPh>
    <rPh sb="6" eb="8">
      <t>ガツキ</t>
    </rPh>
    <rPh sb="8" eb="10">
      <t>シュウセイ</t>
    </rPh>
    <rPh sb="11" eb="13">
      <t>トクベツ</t>
    </rPh>
    <rPh sb="13" eb="15">
      <t>ソンシツ</t>
    </rPh>
    <rPh sb="15" eb="17">
      <t>エイヤク</t>
    </rPh>
    <phoneticPr fontId="14"/>
  </si>
  <si>
    <t>2020年3月期に非支配株主に帰属する当期純利益が正の値だった場合は、科目と英訳から(損失)を外す。注1についても同様の修正を行う</t>
    <rPh sb="4" eb="5">
      <t>ネン</t>
    </rPh>
    <rPh sb="6" eb="8">
      <t>ガツキ</t>
    </rPh>
    <rPh sb="9" eb="10">
      <t>ヒ</t>
    </rPh>
    <rPh sb="10" eb="12">
      <t>シハイ</t>
    </rPh>
    <rPh sb="12" eb="14">
      <t>カブヌシ</t>
    </rPh>
    <rPh sb="15" eb="17">
      <t>キゾク</t>
    </rPh>
    <rPh sb="19" eb="21">
      <t>トウキ</t>
    </rPh>
    <rPh sb="21" eb="24">
      <t>ジュンリエキ</t>
    </rPh>
    <rPh sb="25" eb="26">
      <t>セイ</t>
    </rPh>
    <rPh sb="27" eb="28">
      <t>アタイ</t>
    </rPh>
    <rPh sb="31" eb="33">
      <t>バアイ</t>
    </rPh>
    <rPh sb="35" eb="37">
      <t>カモク</t>
    </rPh>
    <rPh sb="38" eb="40">
      <t>エイヤク</t>
    </rPh>
    <rPh sb="43" eb="45">
      <t>ソンシツ</t>
    </rPh>
    <rPh sb="47" eb="48">
      <t>ハズ</t>
    </rPh>
    <rPh sb="50" eb="51">
      <t>チュウ</t>
    </rPh>
    <rPh sb="57" eb="59">
      <t>ドウヨウ</t>
    </rPh>
    <rPh sb="60" eb="62">
      <t>シュウセイ</t>
    </rPh>
    <rPh sb="63" eb="64">
      <t>オコナ</t>
    </rPh>
    <phoneticPr fontId="14"/>
  </si>
  <si>
    <t>2019年3月期修正：固定資産Noncurrent Assets→Non-current Assets、再評価にかかる繰延税金資産Deferred Tax Assets for Revaluation→Deferred Tax Assets for Land Revaluation、固定負債Noncurrent Liabilities→Non-current Liabilities</t>
    <rPh sb="4" eb="5">
      <t>ネン</t>
    </rPh>
    <rPh sb="6" eb="8">
      <t>ガツキ</t>
    </rPh>
    <rPh sb="8" eb="10">
      <t>シュウセイ</t>
    </rPh>
    <rPh sb="11" eb="13">
      <t>コテイ</t>
    </rPh>
    <rPh sb="13" eb="15">
      <t>シサン</t>
    </rPh>
    <rPh sb="52" eb="55">
      <t>サイヒョウカ</t>
    </rPh>
    <rPh sb="59" eb="61">
      <t>クリノベ</t>
    </rPh>
    <rPh sb="61" eb="63">
      <t>ゼイキン</t>
    </rPh>
    <rPh sb="63" eb="65">
      <t>シサン</t>
    </rPh>
    <rPh sb="142" eb="144">
      <t>コテイ</t>
    </rPh>
    <rPh sb="144" eb="146">
      <t>フサイ</t>
    </rPh>
    <phoneticPr fontId="17"/>
  </si>
  <si>
    <t>短期借入金Short-term Loans Payable→Short-term Borrowings、長期借入金Long-term Loans Payable→Long-term Borrowings、退職給付に係る負債Net Defined Benefit Liability→Retirement Benefit Liability、長期預り保証金Long-term Guarantee Deposited→Long-term Guarantee Deposits</t>
    <rPh sb="0" eb="2">
      <t>タンキ</t>
    </rPh>
    <rPh sb="2" eb="4">
      <t>カリイレ</t>
    </rPh>
    <rPh sb="4" eb="5">
      <t>キン</t>
    </rPh>
    <rPh sb="52" eb="54">
      <t>チョウキ</t>
    </rPh>
    <rPh sb="54" eb="56">
      <t>カリイレ</t>
    </rPh>
    <rPh sb="56" eb="57">
      <t>キン</t>
    </rPh>
    <rPh sb="170" eb="172">
      <t>チョウキ</t>
    </rPh>
    <rPh sb="172" eb="173">
      <t>アズカ</t>
    </rPh>
    <rPh sb="174" eb="177">
      <t>ホショウキン</t>
    </rPh>
    <phoneticPr fontId="17"/>
  </si>
  <si>
    <t>資本金Capital Stock→Share Capital、新株予約権Subscription Rights to Shares→Share Acquisition Rights</t>
    <rPh sb="0" eb="3">
      <t>シホンキン</t>
    </rPh>
    <rPh sb="31" eb="33">
      <t>シンカブ</t>
    </rPh>
    <rPh sb="33" eb="35">
      <t>ヨヤク</t>
    </rPh>
    <rPh sb="35" eb="36">
      <t>ケン</t>
    </rPh>
    <phoneticPr fontId="17"/>
  </si>
  <si>
    <t>2019年3月期修正：営業活動によるキャッシュ・フローNet Cash Provided by (Used in) Operating Activities→Cash Flows from Operating Activities、</t>
    <rPh sb="4" eb="5">
      <t>ネン</t>
    </rPh>
    <rPh sb="6" eb="8">
      <t>ガツキ</t>
    </rPh>
    <rPh sb="8" eb="10">
      <t>シュウセイ</t>
    </rPh>
    <phoneticPr fontId="14"/>
  </si>
  <si>
    <t>減価償却費及びその他の償却費Depreciation and Other Amortization→Depreciation and Amortization</t>
    <phoneticPr fontId="14"/>
  </si>
  <si>
    <t>売上債権の増減額Increase (Decrease) in Notes and Accounts Receivable-Trade→Increase (Decrease) in Trade Receivable</t>
    <rPh sb="0" eb="2">
      <t>ウリアゲ</t>
    </rPh>
    <rPh sb="2" eb="4">
      <t>サイケン</t>
    </rPh>
    <rPh sb="5" eb="8">
      <t>ゾウゲンガク</t>
    </rPh>
    <phoneticPr fontId="14"/>
  </si>
  <si>
    <t>利息及び配当金の受取額Interest and Dividend Income Received→Interest and Dividends Received</t>
    <rPh sb="0" eb="2">
      <t>リソク</t>
    </rPh>
    <rPh sb="2" eb="3">
      <t>オヨ</t>
    </rPh>
    <rPh sb="4" eb="7">
      <t>ハイトウキン</t>
    </rPh>
    <rPh sb="8" eb="10">
      <t>ウケトリ</t>
    </rPh>
    <rPh sb="10" eb="11">
      <t>ガク</t>
    </rPh>
    <phoneticPr fontId="14"/>
  </si>
  <si>
    <t>利息の支払額Interest Expenses Paid→Interest Paid</t>
    <rPh sb="0" eb="2">
      <t>リソク</t>
    </rPh>
    <rPh sb="3" eb="5">
      <t>シハライ</t>
    </rPh>
    <rPh sb="5" eb="6">
      <t>ガク</t>
    </rPh>
    <phoneticPr fontId="14"/>
  </si>
  <si>
    <t>投資活動によるキャッシュ・フローNet Cash Provided by (Used in) Investing Activities→Cash Flows from Investing Activities</t>
    <phoneticPr fontId="14"/>
  </si>
  <si>
    <t>財務活動によるキャッシュ・フローNet Cash Provided by (Used in) Financing Activities→Cash Flows from Financing Activities</t>
    <rPh sb="0" eb="2">
      <t>ザイム</t>
    </rPh>
    <rPh sb="2" eb="4">
      <t>カツドウ</t>
    </rPh>
    <phoneticPr fontId="14"/>
  </si>
  <si>
    <t>短期借入金の純増減額Net Increase (Decrease) in Short-term Loans Payable→Net Increase (Decrease) in Short-term Borrowings</t>
    <rPh sb="0" eb="2">
      <t>タンキ</t>
    </rPh>
    <rPh sb="2" eb="4">
      <t>カリイレ</t>
    </rPh>
    <rPh sb="4" eb="5">
      <t>キン</t>
    </rPh>
    <rPh sb="6" eb="7">
      <t>ジュン</t>
    </rPh>
    <rPh sb="7" eb="9">
      <t>ゾウゲン</t>
    </rPh>
    <rPh sb="9" eb="10">
      <t>ガク</t>
    </rPh>
    <phoneticPr fontId="14"/>
  </si>
  <si>
    <t>長期借入金純増減額Net Increase (Decrease) in Long-term Loans Payable→Net Increase (Decrease) in Long-term Borrowings</t>
    <phoneticPr fontId="14"/>
  </si>
  <si>
    <t>配当金の支払額Cash Dividends Paid→Dividends Paid</t>
    <rPh sb="0" eb="3">
      <t>ハイトウキン</t>
    </rPh>
    <rPh sb="4" eb="6">
      <t>シハライ</t>
    </rPh>
    <rPh sb="6" eb="7">
      <t>ガク</t>
    </rPh>
    <phoneticPr fontId="14"/>
  </si>
  <si>
    <t>主要ﾃﾞｰﾀとの差額</t>
    <rPh sb="0" eb="2">
      <t>シュヨウ</t>
    </rPh>
    <rPh sb="8" eb="10">
      <t>サガク</t>
    </rPh>
    <phoneticPr fontId="14"/>
  </si>
  <si>
    <t>関係会社株式売却損益</t>
    <rPh sb="0" eb="2">
      <t>カンケイ</t>
    </rPh>
    <rPh sb="2" eb="4">
      <t>ガイシャ</t>
    </rPh>
    <rPh sb="4" eb="6">
      <t>カブシキ</t>
    </rPh>
    <rPh sb="6" eb="8">
      <t>バイキャク</t>
    </rPh>
    <rPh sb="8" eb="10">
      <t>ソンエキ</t>
    </rPh>
    <phoneticPr fontId="9"/>
  </si>
  <si>
    <t>無形固定資産売却益</t>
    <rPh sb="0" eb="2">
      <t>ムケイ</t>
    </rPh>
    <rPh sb="8" eb="9">
      <t>エキ</t>
    </rPh>
    <phoneticPr fontId="9"/>
  </si>
  <si>
    <t>関係会社株式清算損</t>
    <rPh sb="0" eb="2">
      <t>カンケイ</t>
    </rPh>
    <rPh sb="2" eb="4">
      <t>ガイシャ</t>
    </rPh>
    <rPh sb="4" eb="6">
      <t>カブシキ</t>
    </rPh>
    <rPh sb="6" eb="8">
      <t>セイサン</t>
    </rPh>
    <rPh sb="8" eb="9">
      <t>ソン</t>
    </rPh>
    <phoneticPr fontId="9"/>
  </si>
  <si>
    <t>関係会社株式の売却による収入</t>
  </si>
  <si>
    <t>繰延税金資産</t>
    <rPh sb="0" eb="2">
      <t>クリノベ</t>
    </rPh>
    <rPh sb="2" eb="4">
      <t>ゼイキン</t>
    </rPh>
    <rPh sb="4" eb="6">
      <t>シサン</t>
    </rPh>
    <phoneticPr fontId="16"/>
  </si>
  <si>
    <t>*The figures in this page include JAA and HAA Kobe from October 2017 onward.</t>
    <phoneticPr fontId="17"/>
  </si>
  <si>
    <t>繰延税金負債</t>
    <rPh sb="0" eb="2">
      <t>クリノベ</t>
    </rPh>
    <rPh sb="2" eb="4">
      <t>ゼイキン</t>
    </rPh>
    <rPh sb="4" eb="6">
      <t>フサイ</t>
    </rPh>
    <phoneticPr fontId="24"/>
  </si>
  <si>
    <t xml:space="preserve">   </t>
    <phoneticPr fontId="17"/>
  </si>
  <si>
    <t>2020.3</t>
  </si>
  <si>
    <t>子会社の自己株式の取得による支出</t>
    <rPh sb="0" eb="3">
      <t>コガイシャ</t>
    </rPh>
    <rPh sb="9" eb="11">
      <t>シュトク</t>
    </rPh>
    <phoneticPr fontId="9"/>
  </si>
  <si>
    <t>売上高</t>
    <rPh sb="0" eb="2">
      <t>ウリアゲ</t>
    </rPh>
    <rPh sb="2" eb="3">
      <t>ダカ</t>
    </rPh>
    <phoneticPr fontId="29"/>
  </si>
  <si>
    <t>商品売上高+リユース売上</t>
    <rPh sb="0" eb="2">
      <t>ショウヒン</t>
    </rPh>
    <rPh sb="2" eb="4">
      <t>ウリアゲ</t>
    </rPh>
    <rPh sb="4" eb="5">
      <t>ダカ</t>
    </rPh>
    <rPh sb="10" eb="12">
      <t>ウリアゲ</t>
    </rPh>
    <phoneticPr fontId="29"/>
  </si>
  <si>
    <t>解体工事を追加？それともリサイクルで統合？(吉田)</t>
    <rPh sb="0" eb="2">
      <t>カイタイ</t>
    </rPh>
    <rPh sb="2" eb="4">
      <t>コウジ</t>
    </rPh>
    <rPh sb="5" eb="7">
      <t>ツイカ</t>
    </rPh>
    <rPh sb="18" eb="20">
      <t>トウゴウ</t>
    </rPh>
    <rPh sb="22" eb="24">
      <t>ヨシダ</t>
    </rPh>
    <phoneticPr fontId="29"/>
  </si>
  <si>
    <t>*A Lower-priced vehicles is an old vehicle with high mileage.</t>
  </si>
  <si>
    <t>*As JAA has become a subsidiary, the vehicle consignment data reported by the USS Group from October 2017 onward includes the number of vehicles consigned to the JAA Group.</t>
    <phoneticPr fontId="17"/>
  </si>
  <si>
    <t>※参照資料：</t>
    <rPh sb="1" eb="3">
      <t>サンショウ</t>
    </rPh>
    <rPh sb="3" eb="5">
      <t>シリョウ</t>
    </rPh>
    <phoneticPr fontId="17"/>
  </si>
  <si>
    <t>6</t>
    <phoneticPr fontId="29"/>
  </si>
  <si>
    <t>9</t>
    <phoneticPr fontId="29"/>
  </si>
  <si>
    <t>A4100_●●12新車･中古車･保有台数集計.xlsm</t>
  </si>
  <si>
    <t>事業譲渡損益</t>
    <rPh sb="0" eb="2">
      <t>ジギョウ</t>
    </rPh>
    <rPh sb="2" eb="4">
      <t>ジョウト</t>
    </rPh>
    <rPh sb="4" eb="6">
      <t>ソンエキ</t>
    </rPh>
    <phoneticPr fontId="9"/>
  </si>
  <si>
    <t>事業譲渡による収入</t>
    <rPh sb="0" eb="2">
      <t>ジギョウ</t>
    </rPh>
    <rPh sb="2" eb="4">
      <t>ジョウト</t>
    </rPh>
    <rPh sb="7" eb="9">
      <t>シュウニュウ</t>
    </rPh>
    <phoneticPr fontId="9"/>
  </si>
  <si>
    <t>※参照資料：D2100_●●03セグメントVer1.0.3.xls</t>
    <phoneticPr fontId="17"/>
  </si>
  <si>
    <t>■　2021.3期　タクソノミより英文表記変更　</t>
    <rPh sb="8" eb="9">
      <t>キ</t>
    </rPh>
    <rPh sb="17" eb="19">
      <t>エイブン</t>
    </rPh>
    <rPh sb="19" eb="21">
      <t>ヒョウキ</t>
    </rPh>
    <rPh sb="21" eb="23">
      <t>ヘンコウ</t>
    </rPh>
    <phoneticPr fontId="14"/>
  </si>
  <si>
    <t>Proceeds from Sales of Property, Plant and Equipment</t>
  </si>
  <si>
    <r>
      <t>有形固定資産の売却による収入　「Proceeds from Sale</t>
    </r>
    <r>
      <rPr>
        <sz val="9"/>
        <color rgb="FFFF0000"/>
        <rFont val="ＭＳ Ｐゴシック"/>
        <family val="3"/>
        <charset val="128"/>
      </rPr>
      <t>s</t>
    </r>
    <r>
      <rPr>
        <sz val="9"/>
        <rFont val="ＭＳ Ｐゴシック"/>
        <family val="3"/>
        <charset val="128"/>
      </rPr>
      <t xml:space="preserve"> of Property, Plant and Equipment」→　「Proceeds from sale of property, plant and equipment」</t>
    </r>
    <rPh sb="0" eb="6">
      <t>ユウケイコテイシサン</t>
    </rPh>
    <rPh sb="7" eb="9">
      <t>バイキャク</t>
    </rPh>
    <rPh sb="12" eb="14">
      <t>シュウニュウ</t>
    </rPh>
    <phoneticPr fontId="17"/>
  </si>
  <si>
    <t>オークション事業はJBAを除く</t>
    <rPh sb="6" eb="8">
      <t>ジギョウ</t>
    </rPh>
    <rPh sb="13" eb="14">
      <t>ノゾ</t>
    </rPh>
    <phoneticPr fontId="29"/>
  </si>
  <si>
    <r>
      <t>減損損失　「Impairment loss」→「Impairment loss</t>
    </r>
    <r>
      <rPr>
        <sz val="9"/>
        <color rgb="FFFF0000"/>
        <rFont val="ＭＳ Ｐゴシック"/>
        <family val="3"/>
        <charset val="128"/>
      </rPr>
      <t>es</t>
    </r>
    <r>
      <rPr>
        <sz val="9"/>
        <rFont val="ＭＳ Ｐゴシック"/>
        <family val="3"/>
        <charset val="128"/>
      </rPr>
      <t>」</t>
    </r>
    <rPh sb="0" eb="2">
      <t>ゲンソン</t>
    </rPh>
    <rPh sb="2" eb="4">
      <t>ソンシツ</t>
    </rPh>
    <phoneticPr fontId="9"/>
  </si>
  <si>
    <t>　■ｽﾄﾗﾋﾞｽ関数使用した、入力用エクセルより転記　　→　来期計画シート入力用（版10・40）.xlsm</t>
    <rPh sb="8" eb="10">
      <t>カンスウ</t>
    </rPh>
    <rPh sb="10" eb="12">
      <t>シヨウ</t>
    </rPh>
    <rPh sb="15" eb="17">
      <t>ニュウリョク</t>
    </rPh>
    <rPh sb="17" eb="18">
      <t>ヨウ</t>
    </rPh>
    <rPh sb="24" eb="26">
      <t>テンキ</t>
    </rPh>
    <phoneticPr fontId="29"/>
  </si>
  <si>
    <r>
      <t>比較は</t>
    </r>
    <r>
      <rPr>
        <sz val="10"/>
        <color rgb="FFFF0000"/>
        <rFont val="ＭＳ ゴシック"/>
        <family val="3"/>
        <charset val="128"/>
      </rPr>
      <t>2012.3</t>
    </r>
    <rPh sb="0" eb="2">
      <t>ヒカク</t>
    </rPh>
    <phoneticPr fontId="17"/>
  </si>
  <si>
    <r>
      <t>比較は</t>
    </r>
    <r>
      <rPr>
        <sz val="10"/>
        <color rgb="FFFF0000"/>
        <rFont val="ＭＳ ゴシック"/>
        <family val="3"/>
        <charset val="128"/>
      </rPr>
      <t>2014.3</t>
    </r>
    <rPh sb="0" eb="2">
      <t>ヒカク</t>
    </rPh>
    <phoneticPr fontId="17"/>
  </si>
  <si>
    <t>　■ロジ解散にともない、注記を追加しているが、2027.3期作成時にコメント削除</t>
    <rPh sb="4" eb="6">
      <t>カイサン</t>
    </rPh>
    <rPh sb="12" eb="14">
      <t>チュウキ</t>
    </rPh>
    <rPh sb="15" eb="17">
      <t>ツイカ</t>
    </rPh>
    <rPh sb="29" eb="30">
      <t>キ</t>
    </rPh>
    <rPh sb="30" eb="32">
      <t>サクセイ</t>
    </rPh>
    <rPh sb="32" eb="33">
      <t>ジ</t>
    </rPh>
    <rPh sb="38" eb="40">
      <t>サクジョ</t>
    </rPh>
    <phoneticPr fontId="29"/>
  </si>
  <si>
    <t>　■中古車（売上ｾｸﾞ）・その他（売上ｾｸﾞ）と英語を合わせるため（中古自動車買取販売・事故現状車買取販売・リサイクル・中古自動車の輸出手続き代行サービス・落札手数料・商品売上高）英語修正</t>
    <rPh sb="2" eb="5">
      <t>チュウコシャ</t>
    </rPh>
    <rPh sb="6" eb="8">
      <t>ウリアゲ</t>
    </rPh>
    <rPh sb="15" eb="16">
      <t>タ</t>
    </rPh>
    <rPh sb="17" eb="19">
      <t>ウリアゲ</t>
    </rPh>
    <rPh sb="24" eb="26">
      <t>エイゴ</t>
    </rPh>
    <rPh sb="27" eb="28">
      <t>ア</t>
    </rPh>
    <rPh sb="34" eb="36">
      <t>チュウコ</t>
    </rPh>
    <rPh sb="36" eb="39">
      <t>ジドウシャ</t>
    </rPh>
    <rPh sb="39" eb="41">
      <t>カイトリ</t>
    </rPh>
    <rPh sb="41" eb="43">
      <t>ハンバイ</t>
    </rPh>
    <rPh sb="44" eb="46">
      <t>ジコ</t>
    </rPh>
    <rPh sb="46" eb="48">
      <t>ゲンジョウ</t>
    </rPh>
    <rPh sb="48" eb="49">
      <t>クルマ</t>
    </rPh>
    <rPh sb="49" eb="51">
      <t>カイトリ</t>
    </rPh>
    <rPh sb="51" eb="53">
      <t>ハンバイ</t>
    </rPh>
    <rPh sb="60" eb="62">
      <t>チュウコ</t>
    </rPh>
    <rPh sb="63" eb="64">
      <t>ノ</t>
    </rPh>
    <rPh sb="64" eb="66">
      <t>ユシュツ</t>
    </rPh>
    <rPh sb="66" eb="69">
      <t>テツヅキ</t>
    </rPh>
    <rPh sb="69" eb="71">
      <t>ダイコウ</t>
    </rPh>
    <rPh sb="71" eb="75">
      <t>サービス</t>
    </rPh>
    <rPh sb="78" eb="80">
      <t>ラクサツ</t>
    </rPh>
    <rPh sb="80" eb="83">
      <t>テスウリョウ</t>
    </rPh>
    <rPh sb="84" eb="86">
      <t>ショウヒン</t>
    </rPh>
    <rPh sb="86" eb="88">
      <t>ウリアゲ</t>
    </rPh>
    <rPh sb="88" eb="89">
      <t>ダカ</t>
    </rPh>
    <rPh sb="90" eb="92">
      <t>エイゴ</t>
    </rPh>
    <rPh sb="92" eb="94">
      <t>シュウセイ</t>
    </rPh>
    <phoneticPr fontId="29"/>
  </si>
  <si>
    <t>*The figures in this slide do not include JBA data.</t>
    <phoneticPr fontId="14"/>
  </si>
  <si>
    <t>2021.3</t>
  </si>
  <si>
    <t xml:space="preserve">            D9200AL_2203会員数.xlsm</t>
    <phoneticPr fontId="17"/>
  </si>
  <si>
    <t>ロジの文章どうするか？</t>
    <rPh sb="3" eb="5">
      <t>ブンショウ</t>
    </rPh>
    <phoneticPr fontId="17"/>
  </si>
  <si>
    <t>税金等調整前当期純利益</t>
    <rPh sb="6" eb="7">
      <t>トウ</t>
    </rPh>
    <rPh sb="7" eb="8">
      <t>キ</t>
    </rPh>
    <rPh sb="8" eb="11">
      <t>ジュンリエキ</t>
    </rPh>
    <phoneticPr fontId="9"/>
  </si>
  <si>
    <t>■　2022.3期　タクソノミより英文表記変更　</t>
    <rPh sb="8" eb="9">
      <t>キ</t>
    </rPh>
    <rPh sb="17" eb="19">
      <t>エイブン</t>
    </rPh>
    <rPh sb="19" eb="21">
      <t>ヒョウキ</t>
    </rPh>
    <rPh sb="21" eb="23">
      <t>ヘンコウ</t>
    </rPh>
    <phoneticPr fontId="14"/>
  </si>
  <si>
    <t>営業活動によるキャッシュフロー「Net cash provided by (used in) operating activities」→「Cash flows from operating activities」</t>
    <rPh sb="0" eb="2">
      <t>エイギョウ</t>
    </rPh>
    <rPh sb="2" eb="4">
      <t>カツドウ</t>
    </rPh>
    <phoneticPr fontId="14"/>
  </si>
  <si>
    <t>投資活動によるキャッシュフロー「Net cash provided by (used in) investing activities」→「Cash flows from investing activities」</t>
    <rPh sb="0" eb="2">
      <t>トウシ</t>
    </rPh>
    <rPh sb="2" eb="4">
      <t>カツドウ</t>
    </rPh>
    <phoneticPr fontId="14"/>
  </si>
  <si>
    <t>財務活動によるキャッシュフロー「Net cash provided by (used in) financing activities」→「Cash flows from financing activities」</t>
    <rPh sb="0" eb="2">
      <t>ザイム</t>
    </rPh>
    <rPh sb="2" eb="4">
      <t>カツドウ</t>
    </rPh>
    <phoneticPr fontId="14"/>
  </si>
  <si>
    <t>見直し終わり</t>
    <rPh sb="0" eb="2">
      <t>ミナオ</t>
    </rPh>
    <rPh sb="3" eb="4">
      <t>オ</t>
    </rPh>
    <phoneticPr fontId="17"/>
  </si>
  <si>
    <t>売上総利益率　＝　売上総利益÷売上高×100％</t>
    <rPh sb="0" eb="2">
      <t>ウリアゲ</t>
    </rPh>
    <rPh sb="2" eb="3">
      <t>ソウ</t>
    </rPh>
    <rPh sb="3" eb="5">
      <t>リエキ</t>
    </rPh>
    <rPh sb="5" eb="6">
      <t>リツ</t>
    </rPh>
    <rPh sb="9" eb="11">
      <t>ウリアゲ</t>
    </rPh>
    <rPh sb="11" eb="14">
      <t>ソウリエキ</t>
    </rPh>
    <rPh sb="15" eb="17">
      <t>ウリアゲ</t>
    </rPh>
    <rPh sb="17" eb="18">
      <t>ダカ</t>
    </rPh>
    <phoneticPr fontId="29"/>
  </si>
  <si>
    <t>販売費及び一般管理費率　＝　販売費及び一般管理費÷売上高×100％</t>
    <rPh sb="0" eb="3">
      <t>ハンバイヒ</t>
    </rPh>
    <rPh sb="3" eb="4">
      <t>オヨ</t>
    </rPh>
    <rPh sb="5" eb="7">
      <t>イッパン</t>
    </rPh>
    <rPh sb="7" eb="10">
      <t>カンリヒ</t>
    </rPh>
    <rPh sb="10" eb="11">
      <t>リツ</t>
    </rPh>
    <rPh sb="14" eb="17">
      <t>ハンバイヒ</t>
    </rPh>
    <rPh sb="17" eb="18">
      <t>オヨ</t>
    </rPh>
    <rPh sb="19" eb="21">
      <t>イッパン</t>
    </rPh>
    <rPh sb="21" eb="24">
      <t>カンリヒ</t>
    </rPh>
    <rPh sb="25" eb="27">
      <t>ウリアゲ</t>
    </rPh>
    <rPh sb="27" eb="28">
      <t>ダカ</t>
    </rPh>
    <phoneticPr fontId="29"/>
  </si>
  <si>
    <t>営業利益率　＝　営業利益÷売上高×100％</t>
    <rPh sb="0" eb="2">
      <t>エイギョウ</t>
    </rPh>
    <rPh sb="2" eb="4">
      <t>リエキ</t>
    </rPh>
    <rPh sb="4" eb="5">
      <t>リツ</t>
    </rPh>
    <rPh sb="8" eb="10">
      <t>エイギョウ</t>
    </rPh>
    <rPh sb="10" eb="12">
      <t>リエキ</t>
    </rPh>
    <rPh sb="13" eb="15">
      <t>ウリアゲ</t>
    </rPh>
    <rPh sb="15" eb="16">
      <t>ダカ</t>
    </rPh>
    <phoneticPr fontId="29"/>
  </si>
  <si>
    <t>法人税率　＝　法人税等÷税金等調整前当期純利益×100％</t>
    <rPh sb="0" eb="3">
      <t>ホウジンゼイ</t>
    </rPh>
    <rPh sb="3" eb="4">
      <t>リツ</t>
    </rPh>
    <rPh sb="7" eb="10">
      <t>ホウジンゼイ</t>
    </rPh>
    <rPh sb="10" eb="11">
      <t>トウ</t>
    </rPh>
    <phoneticPr fontId="29"/>
  </si>
  <si>
    <t>ROE　＝　親会社株主に帰属する当期純利益÷自己資本（期首・期末平均）×100％</t>
    <phoneticPr fontId="29"/>
  </si>
  <si>
    <t>配当性向　＝　配当金総額÷親会社株主に帰属する当期純利益×100％</t>
    <rPh sb="0" eb="2">
      <t>ハイトウ</t>
    </rPh>
    <rPh sb="2" eb="4">
      <t>セイコウ</t>
    </rPh>
    <rPh sb="7" eb="10">
      <t>ハイトウキン</t>
    </rPh>
    <rPh sb="10" eb="12">
      <t>ソウガク</t>
    </rPh>
    <rPh sb="13" eb="16">
      <t>オヤガイシャ</t>
    </rPh>
    <rPh sb="16" eb="18">
      <t>カブヌシ</t>
    </rPh>
    <rPh sb="19" eb="21">
      <t>キゾク</t>
    </rPh>
    <rPh sb="23" eb="25">
      <t>トウキ</t>
    </rPh>
    <rPh sb="25" eb="28">
      <t>ジュンリエキ</t>
    </rPh>
    <phoneticPr fontId="29"/>
  </si>
  <si>
    <t>自己資本比率　＝　自己資本÷総資産×100％</t>
    <rPh sb="0" eb="2">
      <t>ジコ</t>
    </rPh>
    <rPh sb="2" eb="4">
      <t>シホン</t>
    </rPh>
    <rPh sb="4" eb="6">
      <t>ヒリツ</t>
    </rPh>
    <phoneticPr fontId="29"/>
  </si>
  <si>
    <t>外部落札比率　＝　外部落札台数÷USSグループ落札台数 ×100％</t>
    <rPh sb="0" eb="2">
      <t>ガイブ</t>
    </rPh>
    <rPh sb="2" eb="4">
      <t>ラクサツ</t>
    </rPh>
    <rPh sb="4" eb="6">
      <t>ヒリツ</t>
    </rPh>
    <rPh sb="9" eb="11">
      <t>ガイブ</t>
    </rPh>
    <rPh sb="11" eb="13">
      <t>ラクサツ</t>
    </rPh>
    <rPh sb="13" eb="15">
      <t>ダイスウ</t>
    </rPh>
    <rPh sb="23" eb="25">
      <t>ラクサツ</t>
    </rPh>
    <rPh sb="25" eb="27">
      <t>ダイスウ</t>
    </rPh>
    <phoneticPr fontId="29"/>
  </si>
  <si>
    <t>(Source: Nirinsha Shimbunsha Co., Ltd.)</t>
    <phoneticPr fontId="17"/>
  </si>
  <si>
    <t>退避</t>
    <rPh sb="0" eb="2">
      <t>タイヒ</t>
    </rPh>
    <phoneticPr fontId="17"/>
  </si>
  <si>
    <t>※バス、トラックを含む台数を記載しております。（出所：(一社)日本自動車販売協会連合会、(一社)日本自動車工業会、(一社)全国軽自動車協会連合会、(独)統計センター）</t>
    <rPh sb="9" eb="10">
      <t>フク</t>
    </rPh>
    <rPh sb="11" eb="13">
      <t>ダイスウ</t>
    </rPh>
    <rPh sb="14" eb="16">
      <t>キサイ</t>
    </rPh>
    <phoneticPr fontId="17"/>
  </si>
  <si>
    <t>項目</t>
    <rPh sb="0" eb="2">
      <t>コウモク</t>
    </rPh>
    <phoneticPr fontId="17"/>
  </si>
  <si>
    <t>Avg YoY Change 
(10 year period)</t>
  </si>
  <si>
    <t>増減率検証</t>
    <rPh sb="0" eb="2">
      <t>ゾウゲン</t>
    </rPh>
    <rPh sb="2" eb="3">
      <t>リツ</t>
    </rPh>
    <rPh sb="3" eb="5">
      <t>ケンショウ</t>
    </rPh>
    <phoneticPr fontId="17"/>
  </si>
  <si>
    <t>営業成績</t>
    <rPh sb="0" eb="2">
      <t>エイギョウ</t>
    </rPh>
    <rPh sb="2" eb="4">
      <t>セイセキ</t>
    </rPh>
    <phoneticPr fontId="17"/>
  </si>
  <si>
    <t>経常利益</t>
    <rPh sb="0" eb="2">
      <t>ケイジョウ</t>
    </rPh>
    <rPh sb="2" eb="4">
      <t>リエキ</t>
    </rPh>
    <phoneticPr fontId="17"/>
  </si>
  <si>
    <t>親会社株主帰属当期純利益</t>
    <rPh sb="0" eb="3">
      <t>オヤガイシャ</t>
    </rPh>
    <rPh sb="3" eb="5">
      <t>カブヌシ</t>
    </rPh>
    <rPh sb="5" eb="7">
      <t>キゾク</t>
    </rPh>
    <rPh sb="7" eb="9">
      <t>トウキ</t>
    </rPh>
    <rPh sb="9" eb="12">
      <t>ジュンリエキ</t>
    </rPh>
    <phoneticPr fontId="17"/>
  </si>
  <si>
    <t>包括利益</t>
    <rPh sb="0" eb="2">
      <t>ホウカツ</t>
    </rPh>
    <rPh sb="2" eb="4">
      <t>リエキ</t>
    </rPh>
    <phoneticPr fontId="17"/>
  </si>
  <si>
    <t>資産・負債・純資産</t>
    <rPh sb="0" eb="2">
      <t>シサン</t>
    </rPh>
    <rPh sb="3" eb="5">
      <t>フサイ</t>
    </rPh>
    <rPh sb="6" eb="9">
      <t>ジュンシサン</t>
    </rPh>
    <phoneticPr fontId="17"/>
  </si>
  <si>
    <t>資産</t>
    <rPh sb="0" eb="2">
      <t>シサン</t>
    </rPh>
    <phoneticPr fontId="17"/>
  </si>
  <si>
    <t>　現預金</t>
    <rPh sb="1" eb="2">
      <t>ゲン</t>
    </rPh>
    <rPh sb="2" eb="4">
      <t>ヨキン</t>
    </rPh>
    <phoneticPr fontId="17"/>
  </si>
  <si>
    <t>負債</t>
    <rPh sb="0" eb="2">
      <t>フサイ</t>
    </rPh>
    <phoneticPr fontId="17"/>
  </si>
  <si>
    <t>　有利子負債</t>
    <rPh sb="1" eb="2">
      <t>ユウ</t>
    </rPh>
    <rPh sb="2" eb="4">
      <t>リシ</t>
    </rPh>
    <rPh sb="4" eb="6">
      <t>フサイ</t>
    </rPh>
    <phoneticPr fontId="17"/>
  </si>
  <si>
    <t>純資産</t>
    <rPh sb="0" eb="3">
      <t>ジュンシサン</t>
    </rPh>
    <phoneticPr fontId="14"/>
  </si>
  <si>
    <t>　自己資本</t>
    <rPh sb="1" eb="3">
      <t>ジコ</t>
    </rPh>
    <rPh sb="3" eb="5">
      <t>シホン</t>
    </rPh>
    <phoneticPr fontId="17"/>
  </si>
  <si>
    <t>1株当たりデータ</t>
    <rPh sb="1" eb="2">
      <t>カブ</t>
    </rPh>
    <rPh sb="2" eb="3">
      <t>ア</t>
    </rPh>
    <phoneticPr fontId="17"/>
  </si>
  <si>
    <t>EPS</t>
  </si>
  <si>
    <t>配当金(円)</t>
    <rPh sb="0" eb="3">
      <t>ハイトウキン</t>
    </rPh>
    <rPh sb="4" eb="5">
      <t>エン</t>
    </rPh>
    <phoneticPr fontId="14"/>
  </si>
  <si>
    <t>営業利益率</t>
    <rPh sb="0" eb="2">
      <t>エイギョウ</t>
    </rPh>
    <rPh sb="2" eb="4">
      <t>リエキ</t>
    </rPh>
    <rPh sb="4" eb="5">
      <t>リツ</t>
    </rPh>
    <phoneticPr fontId="14"/>
  </si>
  <si>
    <t>ROE</t>
    <phoneticPr fontId="14"/>
  </si>
  <si>
    <t>ROE</t>
  </si>
  <si>
    <t>ROA</t>
    <phoneticPr fontId="17"/>
  </si>
  <si>
    <t>ROA</t>
  </si>
  <si>
    <t>配当性向</t>
    <rPh sb="0" eb="2">
      <t>ハイトウ</t>
    </rPh>
    <rPh sb="2" eb="4">
      <t>セイコウ</t>
    </rPh>
    <phoneticPr fontId="17"/>
  </si>
  <si>
    <t>自己資本比率</t>
    <rPh sb="0" eb="2">
      <t>ジコ</t>
    </rPh>
    <rPh sb="2" eb="4">
      <t>シホン</t>
    </rPh>
    <rPh sb="4" eb="6">
      <t>ヒリツ</t>
    </rPh>
    <phoneticPr fontId="17"/>
  </si>
  <si>
    <t>発行済株式数(自己株除く)</t>
    <rPh sb="0" eb="2">
      <t>ハッコウ</t>
    </rPh>
    <rPh sb="2" eb="3">
      <t>ズ</t>
    </rPh>
    <rPh sb="3" eb="6">
      <t>カブシキスウ</t>
    </rPh>
    <phoneticPr fontId="17"/>
  </si>
  <si>
    <t>自己株式数</t>
    <rPh sb="0" eb="2">
      <t>ジコ</t>
    </rPh>
    <rPh sb="2" eb="3">
      <t>カブ</t>
    </rPh>
    <rPh sb="3" eb="4">
      <t>シキ</t>
    </rPh>
    <rPh sb="4" eb="5">
      <t>スウ</t>
    </rPh>
    <phoneticPr fontId="17"/>
  </si>
  <si>
    <t>現車会員数</t>
    <rPh sb="0" eb="1">
      <t>ゲン</t>
    </rPh>
    <rPh sb="1" eb="2">
      <t>クルマ</t>
    </rPh>
    <rPh sb="2" eb="4">
      <t>カイイン</t>
    </rPh>
    <rPh sb="4" eb="5">
      <t>スウ</t>
    </rPh>
    <phoneticPr fontId="14"/>
  </si>
  <si>
    <t>会場数</t>
    <rPh sb="0" eb="2">
      <t>カイジョウ</t>
    </rPh>
    <rPh sb="2" eb="3">
      <t>スウ</t>
    </rPh>
    <phoneticPr fontId="17"/>
  </si>
  <si>
    <t>従業員数</t>
    <rPh sb="0" eb="3">
      <t>ジュウギョウイン</t>
    </rPh>
    <rPh sb="3" eb="4">
      <t>スウ</t>
    </rPh>
    <phoneticPr fontId="17"/>
  </si>
  <si>
    <t>　■決算説明会資料で表示している「○年平均営業利益率」は、毎年の営業利益率(小数点第2位を四捨五入した数字)を足して、年数で除したものとする。(2012年3月2日服部CM確認済。)</t>
    <rPh sb="2" eb="4">
      <t>ケッサン</t>
    </rPh>
    <rPh sb="4" eb="7">
      <t>セツメイカイ</t>
    </rPh>
    <rPh sb="7" eb="9">
      <t>シリョウ</t>
    </rPh>
    <rPh sb="10" eb="12">
      <t>ヒョウジ</t>
    </rPh>
    <rPh sb="18" eb="19">
      <t>ネン</t>
    </rPh>
    <rPh sb="19" eb="21">
      <t>ヘイキン</t>
    </rPh>
    <rPh sb="21" eb="23">
      <t>エイギョウ</t>
    </rPh>
    <rPh sb="23" eb="25">
      <t>リエキ</t>
    </rPh>
    <rPh sb="25" eb="26">
      <t>リツ</t>
    </rPh>
    <rPh sb="29" eb="31">
      <t>マイトシ</t>
    </rPh>
    <rPh sb="32" eb="34">
      <t>エイギョウ</t>
    </rPh>
    <rPh sb="34" eb="36">
      <t>リエキ</t>
    </rPh>
    <rPh sb="36" eb="37">
      <t>リツ</t>
    </rPh>
    <rPh sb="38" eb="41">
      <t>ショウスウテン</t>
    </rPh>
    <rPh sb="41" eb="42">
      <t>ダイ</t>
    </rPh>
    <rPh sb="43" eb="44">
      <t>イ</t>
    </rPh>
    <rPh sb="45" eb="49">
      <t>シシャゴニュウ</t>
    </rPh>
    <rPh sb="51" eb="53">
      <t>スウジ</t>
    </rPh>
    <rPh sb="55" eb="56">
      <t>タ</t>
    </rPh>
    <rPh sb="59" eb="61">
      <t>ネンスウ</t>
    </rPh>
    <rPh sb="62" eb="63">
      <t>ジョ</t>
    </rPh>
    <rPh sb="76" eb="77">
      <t>ネン</t>
    </rPh>
    <rPh sb="78" eb="79">
      <t>ガツ</t>
    </rPh>
    <rPh sb="80" eb="81">
      <t>ニチ</t>
    </rPh>
    <rPh sb="81" eb="83">
      <t>ハットリ</t>
    </rPh>
    <rPh sb="85" eb="87">
      <t>カクニン</t>
    </rPh>
    <rPh sb="87" eb="88">
      <t>ズ</t>
    </rPh>
    <phoneticPr fontId="17"/>
  </si>
  <si>
    <t>　■欄外のコメント「2012.3期以降の自己株式数には、USS従業員持株会専用信託が所有する株式が含まれております。」だが、2020年3月期は含まれないが、2021.3期よりまた含まれる。2021.3期開始の持株会終了時は2023年6月2日予定のためその後継続しなかった場合、</t>
    <rPh sb="2" eb="4">
      <t>ランガイ</t>
    </rPh>
    <rPh sb="17" eb="19">
      <t>イコウ</t>
    </rPh>
    <rPh sb="66" eb="67">
      <t>ネン</t>
    </rPh>
    <rPh sb="68" eb="70">
      <t>ガツキ</t>
    </rPh>
    <rPh sb="71" eb="72">
      <t>フク</t>
    </rPh>
    <rPh sb="84" eb="85">
      <t>キ</t>
    </rPh>
    <rPh sb="89" eb="90">
      <t>フク</t>
    </rPh>
    <rPh sb="100" eb="101">
      <t>キ</t>
    </rPh>
    <rPh sb="101" eb="103">
      <t>カイシ</t>
    </rPh>
    <rPh sb="104" eb="106">
      <t>モチカブ</t>
    </rPh>
    <rPh sb="106" eb="107">
      <t>カイ</t>
    </rPh>
    <rPh sb="107" eb="110">
      <t>シュウリョウジ</t>
    </rPh>
    <rPh sb="115" eb="116">
      <t>ネン</t>
    </rPh>
    <rPh sb="117" eb="118">
      <t>ガツ</t>
    </rPh>
    <rPh sb="119" eb="120">
      <t>ヒ</t>
    </rPh>
    <rPh sb="120" eb="122">
      <t>ヨテイ</t>
    </rPh>
    <rPh sb="127" eb="128">
      <t>ゴ</t>
    </rPh>
    <rPh sb="128" eb="130">
      <t>ケイゾク</t>
    </rPh>
    <rPh sb="135" eb="137">
      <t>バアイ</t>
    </rPh>
    <phoneticPr fontId="17"/>
  </si>
  <si>
    <t xml:space="preserve">     コメントの「2012.3期以降」を「2012.3期～2024.3期」に変更する必要があるので2024.3期作成時確認すること。　</t>
    <rPh sb="17" eb="18">
      <t>キ</t>
    </rPh>
    <rPh sb="18" eb="20">
      <t>イコウ</t>
    </rPh>
    <rPh sb="44" eb="46">
      <t>ヒツヨウ</t>
    </rPh>
    <rPh sb="57" eb="58">
      <t>キ</t>
    </rPh>
    <rPh sb="58" eb="60">
      <t>サクセイ</t>
    </rPh>
    <rPh sb="60" eb="61">
      <t>ジ</t>
    </rPh>
    <rPh sb="61" eb="63">
      <t>カクニン</t>
    </rPh>
    <phoneticPr fontId="17"/>
  </si>
  <si>
    <t>　　 それに伴い、英訳も変える必要がある。</t>
    <rPh sb="6" eb="7">
      <t>トモナ</t>
    </rPh>
    <rPh sb="9" eb="11">
      <t>エイヤク</t>
    </rPh>
    <rPh sb="12" eb="13">
      <t>カ</t>
    </rPh>
    <rPh sb="15" eb="17">
      <t>ヒツヨウ</t>
    </rPh>
    <phoneticPr fontId="17"/>
  </si>
  <si>
    <t>　■前期と当期の数字が同一であった場合の増減率の表記は「0.0」とする。（※「-」にしない。というのも100%表記だった場合は「-」ではなく「100.0%」と表記するため。）</t>
    <rPh sb="2" eb="4">
      <t>ゼンキ</t>
    </rPh>
    <rPh sb="5" eb="7">
      <t>トウキ</t>
    </rPh>
    <rPh sb="8" eb="10">
      <t>スウジ</t>
    </rPh>
    <rPh sb="11" eb="13">
      <t>ドウイツ</t>
    </rPh>
    <rPh sb="17" eb="19">
      <t>バアイ</t>
    </rPh>
    <rPh sb="20" eb="22">
      <t>ゾウゲン</t>
    </rPh>
    <rPh sb="22" eb="23">
      <t>リツ</t>
    </rPh>
    <rPh sb="24" eb="26">
      <t>ヒョウキ</t>
    </rPh>
    <rPh sb="55" eb="57">
      <t>ヒョウキ</t>
    </rPh>
    <rPh sb="60" eb="62">
      <t>バアイ</t>
    </rPh>
    <rPh sb="79" eb="81">
      <t>ヒョウキ</t>
    </rPh>
    <phoneticPr fontId="17"/>
  </si>
  <si>
    <t xml:space="preserve">  ■2015年3月期から嘱託職員を従業員数から除いているが、過去数値は修正しない(2015年5月6日服部上席確認済)</t>
    <rPh sb="7" eb="8">
      <t>ネン</t>
    </rPh>
    <rPh sb="9" eb="11">
      <t>ガツキ</t>
    </rPh>
    <rPh sb="13" eb="15">
      <t>ショクタク</t>
    </rPh>
    <rPh sb="15" eb="17">
      <t>ショクイン</t>
    </rPh>
    <rPh sb="18" eb="21">
      <t>ジュウギョウイン</t>
    </rPh>
    <rPh sb="21" eb="22">
      <t>スウ</t>
    </rPh>
    <rPh sb="24" eb="25">
      <t>ノゾ</t>
    </rPh>
    <rPh sb="31" eb="33">
      <t>カコ</t>
    </rPh>
    <rPh sb="33" eb="35">
      <t>スウチ</t>
    </rPh>
    <rPh sb="36" eb="38">
      <t>シュウセイ</t>
    </rPh>
    <rPh sb="46" eb="47">
      <t>ネン</t>
    </rPh>
    <rPh sb="48" eb="49">
      <t>ガツ</t>
    </rPh>
    <rPh sb="50" eb="51">
      <t>ニチ</t>
    </rPh>
    <rPh sb="51" eb="53">
      <t>ハットリ</t>
    </rPh>
    <rPh sb="53" eb="55">
      <t>ジョウセキ</t>
    </rPh>
    <rPh sb="55" eb="57">
      <t>カクニン</t>
    </rPh>
    <rPh sb="57" eb="58">
      <t>ズ</t>
    </rPh>
    <phoneticPr fontId="17"/>
  </si>
  <si>
    <t xml:space="preserve">  ■2021年3月期に　ﾙｰﾙの統一したことで、EPSの増減率、増減額は「-」表示することになった。</t>
    <rPh sb="7" eb="8">
      <t>ネン</t>
    </rPh>
    <rPh sb="9" eb="10">
      <t>ガツ</t>
    </rPh>
    <rPh sb="10" eb="11">
      <t>キ</t>
    </rPh>
    <rPh sb="17" eb="19">
      <t>トウイツ</t>
    </rPh>
    <rPh sb="29" eb="31">
      <t>ゾウゲン</t>
    </rPh>
    <rPh sb="31" eb="32">
      <t>リツ</t>
    </rPh>
    <rPh sb="33" eb="35">
      <t>ゾウゲン</t>
    </rPh>
    <rPh sb="35" eb="36">
      <t>ガク</t>
    </rPh>
    <rPh sb="40" eb="42">
      <t>ヒョウジ</t>
    </rPh>
    <phoneticPr fontId="17"/>
  </si>
  <si>
    <t xml:space="preserve">   The values of assets and liabilities for the fiscal year ended March 2018 are retroactively adjusted.</t>
    <phoneticPr fontId="17"/>
  </si>
  <si>
    <t>Hokkaido</t>
    <phoneticPr fontId="29"/>
  </si>
  <si>
    <t>Tohoku</t>
    <phoneticPr fontId="29"/>
  </si>
  <si>
    <t>Chubu</t>
    <phoneticPr fontId="29"/>
  </si>
  <si>
    <t>Kinki</t>
    <phoneticPr fontId="29"/>
  </si>
  <si>
    <t>Chushikoku</t>
    <phoneticPr fontId="29"/>
  </si>
  <si>
    <t>Avg YoY Change 
(10 year period)</t>
    <phoneticPr fontId="29"/>
  </si>
  <si>
    <t>過去10年
平均増減率</t>
    <phoneticPr fontId="29"/>
  </si>
  <si>
    <t>VS. Prev. year</t>
    <phoneticPr fontId="29"/>
  </si>
  <si>
    <t xml:space="preserve"> Group Name</t>
    <phoneticPr fontId="29"/>
  </si>
  <si>
    <t xml:space="preserve"> USS</t>
    <phoneticPr fontId="29"/>
  </si>
  <si>
    <t xml:space="preserve"> JAA</t>
    <phoneticPr fontId="29"/>
  </si>
  <si>
    <t>*All CIS (Internet) and TV (Satellite auction) members are also on-site auction members because on-site membership is a requirement for these other two membership categories.</t>
    <phoneticPr fontId="14"/>
  </si>
  <si>
    <t>※期中平均株式数には、USS従業員持株会専用信託が保有する自己株式が含まれております。</t>
    <rPh sb="1" eb="3">
      <t>キチュウ</t>
    </rPh>
    <rPh sb="3" eb="5">
      <t>ヘイキン</t>
    </rPh>
    <rPh sb="5" eb="7">
      <t>カブシキ</t>
    </rPh>
    <rPh sb="7" eb="8">
      <t>スウ</t>
    </rPh>
    <rPh sb="14" eb="17">
      <t>ジュウギョウイン</t>
    </rPh>
    <rPh sb="17" eb="20">
      <t>モチカブカイ</t>
    </rPh>
    <rPh sb="20" eb="22">
      <t>センヨウ</t>
    </rPh>
    <rPh sb="22" eb="24">
      <t>シンタク</t>
    </rPh>
    <rPh sb="25" eb="27">
      <t>ホユウ</t>
    </rPh>
    <rPh sb="29" eb="31">
      <t>ジコ</t>
    </rPh>
    <rPh sb="31" eb="33">
      <t>カブシキ</t>
    </rPh>
    <rPh sb="34" eb="35">
      <t>フク</t>
    </rPh>
    <phoneticPr fontId="29"/>
  </si>
  <si>
    <t>*Following the changes in the auction system, HAA Kobe and JAA are included in the aggregation from August 2018 and January 2019, respectively.</t>
    <phoneticPr fontId="14"/>
  </si>
  <si>
    <r>
      <t>連結経営成績　</t>
    </r>
    <r>
      <rPr>
        <b/>
        <sz val="9"/>
        <rFont val="Arial"/>
        <family val="2"/>
      </rPr>
      <t>Consolidated Operating Results</t>
    </r>
    <rPh sb="0" eb="2">
      <t>レンケツ</t>
    </rPh>
    <rPh sb="2" eb="4">
      <t>ケイエイ</t>
    </rPh>
    <rPh sb="4" eb="6">
      <t>セイセキ</t>
    </rPh>
    <phoneticPr fontId="17"/>
  </si>
  <si>
    <r>
      <t>連結財政状態　</t>
    </r>
    <r>
      <rPr>
        <b/>
        <sz val="9"/>
        <rFont val="Arial"/>
        <family val="2"/>
      </rPr>
      <t>Consolidated Financial Position</t>
    </r>
    <rPh sb="0" eb="2">
      <t>レンケツ</t>
    </rPh>
    <rPh sb="2" eb="4">
      <t>ザイセイ</t>
    </rPh>
    <rPh sb="4" eb="6">
      <t>ジョウタイ</t>
    </rPh>
    <phoneticPr fontId="17"/>
  </si>
  <si>
    <r>
      <t>1株当たりデータ　</t>
    </r>
    <r>
      <rPr>
        <b/>
        <sz val="9"/>
        <rFont val="Arial"/>
        <family val="2"/>
      </rPr>
      <t>Per Share Information</t>
    </r>
    <rPh sb="1" eb="2">
      <t>カブ</t>
    </rPh>
    <rPh sb="2" eb="3">
      <t>ア</t>
    </rPh>
    <phoneticPr fontId="17"/>
  </si>
  <si>
    <r>
      <t>その他　</t>
    </r>
    <r>
      <rPr>
        <b/>
        <sz val="9"/>
        <rFont val="Arial"/>
        <family val="2"/>
      </rPr>
      <t>Others</t>
    </r>
    <rPh sb="2" eb="3">
      <t>タ</t>
    </rPh>
    <phoneticPr fontId="17"/>
  </si>
  <si>
    <r>
      <t xml:space="preserve"> </t>
    </r>
    <r>
      <rPr>
        <sz val="7"/>
        <rFont val="メイリオ"/>
        <family val="3"/>
        <charset val="128"/>
      </rPr>
      <t>新車登録台数</t>
    </r>
    <rPh sb="1" eb="3">
      <t>シンシャ</t>
    </rPh>
    <rPh sb="3" eb="5">
      <t>トウロク</t>
    </rPh>
    <rPh sb="5" eb="7">
      <t>ダイスウ</t>
    </rPh>
    <phoneticPr fontId="17"/>
  </si>
  <si>
    <r>
      <rPr>
        <sz val="7"/>
        <rFont val="メイリオ"/>
        <family val="3"/>
        <charset val="128"/>
      </rPr>
      <t>　</t>
    </r>
    <r>
      <rPr>
        <sz val="7"/>
        <rFont val="Arial"/>
        <family val="2"/>
      </rPr>
      <t xml:space="preserve">No. of Registered 
</t>
    </r>
    <r>
      <rPr>
        <sz val="7"/>
        <rFont val="メイリオ"/>
        <family val="3"/>
        <charset val="128"/>
      </rPr>
      <t>　</t>
    </r>
    <r>
      <rPr>
        <sz val="7"/>
        <rFont val="Arial"/>
        <family val="2"/>
      </rPr>
      <t>New Vehicles</t>
    </r>
    <phoneticPr fontId="17"/>
  </si>
  <si>
    <r>
      <t xml:space="preserve"> </t>
    </r>
    <r>
      <rPr>
        <sz val="6"/>
        <rFont val="メイリオ"/>
        <family val="3"/>
        <charset val="128"/>
      </rPr>
      <t>軽自動車　</t>
    </r>
    <r>
      <rPr>
        <sz val="6"/>
        <rFont val="Arial"/>
        <family val="2"/>
      </rPr>
      <t>Mini Cars</t>
    </r>
    <rPh sb="1" eb="2">
      <t>ケイ</t>
    </rPh>
    <rPh sb="2" eb="5">
      <t>ジドウシャ</t>
    </rPh>
    <phoneticPr fontId="17"/>
  </si>
  <si>
    <r>
      <t xml:space="preserve"> </t>
    </r>
    <r>
      <rPr>
        <sz val="6"/>
        <rFont val="メイリオ"/>
        <family val="3"/>
        <charset val="128"/>
      </rPr>
      <t>合計　</t>
    </r>
    <r>
      <rPr>
        <sz val="6"/>
        <rFont val="Arial"/>
        <family val="2"/>
      </rPr>
      <t>Total</t>
    </r>
    <rPh sb="1" eb="3">
      <t>ゴウケイ</t>
    </rPh>
    <phoneticPr fontId="17"/>
  </si>
  <si>
    <r>
      <t xml:space="preserve"> </t>
    </r>
    <r>
      <rPr>
        <sz val="7"/>
        <rFont val="メイリオ"/>
        <family val="3"/>
        <charset val="128"/>
      </rPr>
      <t>中古車登録台数</t>
    </r>
    <rPh sb="1" eb="4">
      <t>チュウコシャ</t>
    </rPh>
    <rPh sb="4" eb="6">
      <t>トウロク</t>
    </rPh>
    <rPh sb="6" eb="8">
      <t>ダイスウ</t>
    </rPh>
    <phoneticPr fontId="17"/>
  </si>
  <si>
    <r>
      <t xml:space="preserve"> </t>
    </r>
    <r>
      <rPr>
        <sz val="6"/>
        <rFont val="メイリオ"/>
        <family val="3"/>
        <charset val="128"/>
      </rPr>
      <t>登録車　</t>
    </r>
    <r>
      <rPr>
        <sz val="6"/>
        <rFont val="Arial"/>
        <family val="2"/>
      </rPr>
      <t>Ordinary Cars</t>
    </r>
    <rPh sb="1" eb="3">
      <t>トウロク</t>
    </rPh>
    <rPh sb="3" eb="4">
      <t>グルマ</t>
    </rPh>
    <phoneticPr fontId="17"/>
  </si>
  <si>
    <r>
      <rPr>
        <sz val="7"/>
        <rFont val="メイリオ"/>
        <family val="3"/>
        <charset val="128"/>
      </rPr>
      <t>　</t>
    </r>
    <r>
      <rPr>
        <sz val="7"/>
        <rFont val="Arial"/>
        <family val="2"/>
      </rPr>
      <t xml:space="preserve">No. of Registered </t>
    </r>
    <r>
      <rPr>
        <sz val="7"/>
        <rFont val="メイリオ"/>
        <family val="3"/>
        <charset val="128"/>
      </rPr>
      <t>　　
　</t>
    </r>
    <r>
      <rPr>
        <sz val="7"/>
        <rFont val="Arial"/>
        <family val="2"/>
      </rPr>
      <t>Used Vehicles</t>
    </r>
    <phoneticPr fontId="17"/>
  </si>
  <si>
    <r>
      <t xml:space="preserve"> </t>
    </r>
    <r>
      <rPr>
        <sz val="6"/>
        <color theme="1" tint="4.9989318521683403E-2"/>
        <rFont val="メイリオ"/>
        <family val="3"/>
        <charset val="128"/>
      </rPr>
      <t>合計　</t>
    </r>
    <r>
      <rPr>
        <sz val="6"/>
        <color theme="1" tint="4.9989318521683403E-2"/>
        <rFont val="Arial"/>
        <family val="2"/>
      </rPr>
      <t>Total</t>
    </r>
    <rPh sb="1" eb="3">
      <t>ゴウケイ</t>
    </rPh>
    <phoneticPr fontId="17"/>
  </si>
  <si>
    <r>
      <t xml:space="preserve"> </t>
    </r>
    <r>
      <rPr>
        <sz val="7"/>
        <rFont val="メイリオ"/>
        <family val="3"/>
        <charset val="128"/>
      </rPr>
      <t>自動車保有台数</t>
    </r>
    <rPh sb="1" eb="4">
      <t>ジドウシャ</t>
    </rPh>
    <rPh sb="4" eb="6">
      <t>ホユウ</t>
    </rPh>
    <rPh sb="6" eb="8">
      <t>ダイスウ</t>
    </rPh>
    <phoneticPr fontId="17"/>
  </si>
  <si>
    <r>
      <rPr>
        <sz val="7"/>
        <rFont val="メイリオ"/>
        <family val="3"/>
        <charset val="128"/>
      </rPr>
      <t>　</t>
    </r>
    <r>
      <rPr>
        <sz val="7"/>
        <rFont val="Arial"/>
        <family val="2"/>
      </rPr>
      <t>No. of Vehicles Owned</t>
    </r>
    <phoneticPr fontId="17"/>
  </si>
  <si>
    <r>
      <t xml:space="preserve"> </t>
    </r>
    <r>
      <rPr>
        <sz val="6"/>
        <rFont val="メイリオ"/>
        <family val="3"/>
        <charset val="128"/>
      </rPr>
      <t>登録車　</t>
    </r>
    <r>
      <rPr>
        <sz val="6"/>
        <rFont val="Arial"/>
        <family val="2"/>
      </rPr>
      <t>Ordinary Cars</t>
    </r>
    <phoneticPr fontId="29"/>
  </si>
  <si>
    <r>
      <rPr>
        <sz val="10"/>
        <rFont val="ＭＳ Ｐゴシック"/>
        <family val="3"/>
        <charset val="128"/>
      </rPr>
      <t>データ入力欄</t>
    </r>
    <rPh sb="3" eb="5">
      <t>ニュウリョク</t>
    </rPh>
    <rPh sb="5" eb="6">
      <t>ラン</t>
    </rPh>
    <phoneticPr fontId="17"/>
  </si>
  <si>
    <r>
      <rPr>
        <sz val="6"/>
        <color theme="0"/>
        <rFont val="メイリオ"/>
        <family val="3"/>
        <charset val="128"/>
      </rPr>
      <t>増減率</t>
    </r>
    <rPh sb="0" eb="2">
      <t>ゾウゲン</t>
    </rPh>
    <rPh sb="2" eb="3">
      <t>リツ</t>
    </rPh>
    <phoneticPr fontId="17"/>
  </si>
  <si>
    <r>
      <rPr>
        <sz val="5"/>
        <color theme="0"/>
        <rFont val="メイリオ"/>
        <family val="3"/>
        <charset val="128"/>
      </rPr>
      <t>過去</t>
    </r>
    <r>
      <rPr>
        <sz val="5"/>
        <color theme="0"/>
        <rFont val="Arial"/>
        <family val="2"/>
      </rPr>
      <t>10</t>
    </r>
    <r>
      <rPr>
        <sz val="5"/>
        <color theme="0"/>
        <rFont val="メイリオ"/>
        <family val="3"/>
        <charset val="128"/>
      </rPr>
      <t>年
平均増減率</t>
    </r>
    <phoneticPr fontId="29"/>
  </si>
  <si>
    <r>
      <rPr>
        <sz val="10"/>
        <rFont val="ＭＳ Ｐゴシック"/>
        <family val="3"/>
        <charset val="128"/>
      </rPr>
      <t>増減率</t>
    </r>
    <rPh sb="0" eb="2">
      <t>ゾウゲン</t>
    </rPh>
    <rPh sb="2" eb="3">
      <t>リツ</t>
    </rPh>
    <phoneticPr fontId="17"/>
  </si>
  <si>
    <r>
      <rPr>
        <sz val="10"/>
        <rFont val="ＭＳ Ｐゴシック"/>
        <family val="3"/>
        <charset val="128"/>
      </rPr>
      <t>過去</t>
    </r>
    <r>
      <rPr>
        <sz val="10"/>
        <rFont val="Arial"/>
        <family val="2"/>
      </rPr>
      <t>10</t>
    </r>
    <r>
      <rPr>
        <sz val="10"/>
        <rFont val="ＭＳ Ｐゴシック"/>
        <family val="3"/>
        <charset val="128"/>
      </rPr>
      <t>年
平均増減率</t>
    </r>
    <rPh sb="0" eb="2">
      <t>カコ</t>
    </rPh>
    <rPh sb="4" eb="5">
      <t>ネン</t>
    </rPh>
    <rPh sb="6" eb="8">
      <t>ヘイキン</t>
    </rPh>
    <rPh sb="8" eb="10">
      <t>ゾウゲン</t>
    </rPh>
    <rPh sb="10" eb="11">
      <t>リツ</t>
    </rPh>
    <phoneticPr fontId="17"/>
  </si>
  <si>
    <r>
      <t>(</t>
    </r>
    <r>
      <rPr>
        <sz val="6"/>
        <rFont val="メイリオ"/>
        <family val="3"/>
        <charset val="128"/>
      </rPr>
      <t>出所：財務省貿易統計</t>
    </r>
    <r>
      <rPr>
        <sz val="6"/>
        <rFont val="Arial"/>
        <family val="2"/>
      </rPr>
      <t>)</t>
    </r>
    <rPh sb="1" eb="3">
      <t>シュッショ</t>
    </rPh>
    <rPh sb="4" eb="7">
      <t>ザイムショウ</t>
    </rPh>
    <rPh sb="7" eb="9">
      <t>ボウエキ</t>
    </rPh>
    <rPh sb="9" eb="11">
      <t>トウケイ</t>
    </rPh>
    <phoneticPr fontId="17"/>
  </si>
  <si>
    <r>
      <rPr>
        <sz val="10"/>
        <rFont val="ＭＳ Ｐゴシック"/>
        <family val="3"/>
        <charset val="128"/>
      </rPr>
      <t>グラフ作成用</t>
    </r>
    <rPh sb="3" eb="6">
      <t>サクセイヨウ</t>
    </rPh>
    <phoneticPr fontId="17"/>
  </si>
  <si>
    <r>
      <rPr>
        <sz val="10"/>
        <rFont val="ＭＳ ゴシック"/>
        <family val="3"/>
        <charset val="128"/>
      </rPr>
      <t>並べ替え用</t>
    </r>
    <rPh sb="0" eb="1">
      <t>ナラ</t>
    </rPh>
    <rPh sb="2" eb="3">
      <t>カ</t>
    </rPh>
    <rPh sb="4" eb="5">
      <t>ヨウ</t>
    </rPh>
    <phoneticPr fontId="17"/>
  </si>
  <si>
    <r>
      <rPr>
        <sz val="10"/>
        <rFont val="ＭＳ ゴシック"/>
        <family val="3"/>
        <charset val="128"/>
      </rPr>
      <t>ﾗﾝｷﾝｸﾞ</t>
    </r>
    <phoneticPr fontId="17"/>
  </si>
  <si>
    <r>
      <rPr>
        <sz val="10"/>
        <rFont val="ＭＳ ゴシック"/>
        <family val="3"/>
        <charset val="128"/>
      </rPr>
      <t>＜注意事項＞</t>
    </r>
    <rPh sb="1" eb="3">
      <t>チュウイ</t>
    </rPh>
    <rPh sb="3" eb="5">
      <t>ジコウ</t>
    </rPh>
    <phoneticPr fontId="17"/>
  </si>
  <si>
    <r>
      <t>2019</t>
    </r>
    <r>
      <rPr>
        <sz val="10"/>
        <rFont val="ＭＳ ゴシック"/>
        <family val="3"/>
        <charset val="128"/>
      </rPr>
      <t>年</t>
    </r>
    <r>
      <rPr>
        <sz val="10"/>
        <rFont val="Arial"/>
        <family val="2"/>
      </rPr>
      <t>3</t>
    </r>
    <r>
      <rPr>
        <sz val="10"/>
        <rFont val="ＭＳ ゴシック"/>
        <family val="3"/>
        <charset val="128"/>
      </rPr>
      <t>月期修正：棒グラフの凡例のうち、ニュージーランドの英文が改行してしまい、非表示になる部分が発生したため、凡例の出力範囲を拡大</t>
    </r>
    <rPh sb="4" eb="5">
      <t>ネン</t>
    </rPh>
    <rPh sb="6" eb="8">
      <t>ガツキ</t>
    </rPh>
    <rPh sb="8" eb="10">
      <t>シュウセイ</t>
    </rPh>
    <rPh sb="11" eb="12">
      <t>ボウ</t>
    </rPh>
    <rPh sb="16" eb="18">
      <t>ハンレイ</t>
    </rPh>
    <rPh sb="31" eb="33">
      <t>エイブン</t>
    </rPh>
    <rPh sb="34" eb="36">
      <t>カイギョウ</t>
    </rPh>
    <rPh sb="42" eb="45">
      <t>ヒヒョウジ</t>
    </rPh>
    <rPh sb="48" eb="50">
      <t>ブブン</t>
    </rPh>
    <rPh sb="51" eb="53">
      <t>ハッセイ</t>
    </rPh>
    <rPh sb="58" eb="60">
      <t>ハンレイ</t>
    </rPh>
    <rPh sb="61" eb="63">
      <t>シュツリョク</t>
    </rPh>
    <rPh sb="63" eb="65">
      <t>ハンイ</t>
    </rPh>
    <rPh sb="66" eb="68">
      <t>カクダイ</t>
    </rPh>
    <phoneticPr fontId="17"/>
  </si>
  <si>
    <r>
      <rPr>
        <sz val="10"/>
        <rFont val="ＭＳ ゴシック"/>
        <family val="3"/>
        <charset val="128"/>
      </rPr>
      <t>※参照資料：</t>
    </r>
    <rPh sb="1" eb="3">
      <t>サンショウ</t>
    </rPh>
    <rPh sb="3" eb="5">
      <t>シリョウ</t>
    </rPh>
    <phoneticPr fontId="17"/>
  </si>
  <si>
    <r>
      <t>\\10.51.3.13\</t>
    </r>
    <r>
      <rPr>
        <u/>
        <sz val="10"/>
        <color indexed="12"/>
        <rFont val="細明朝体"/>
        <family val="3"/>
        <charset val="128"/>
      </rPr>
      <t>財務部</t>
    </r>
    <r>
      <rPr>
        <u/>
        <sz val="10"/>
        <color indexed="12"/>
        <rFont val="Arial"/>
        <family val="2"/>
      </rPr>
      <t>\10_</t>
    </r>
    <r>
      <rPr>
        <u/>
        <sz val="10"/>
        <color indexed="12"/>
        <rFont val="細明朝体"/>
        <family val="3"/>
        <charset val="128"/>
      </rPr>
      <t>担当業務</t>
    </r>
    <r>
      <rPr>
        <u/>
        <sz val="10"/>
        <color indexed="12"/>
        <rFont val="Arial"/>
        <family val="2"/>
      </rPr>
      <t>\30_</t>
    </r>
    <r>
      <rPr>
        <u/>
        <sz val="10"/>
        <color indexed="12"/>
        <rFont val="細明朝体"/>
        <family val="3"/>
        <charset val="128"/>
      </rPr>
      <t>決算</t>
    </r>
    <r>
      <rPr>
        <u/>
        <sz val="10"/>
        <color indexed="12"/>
        <rFont val="Arial"/>
        <family val="2"/>
      </rPr>
      <t>\DATABOOK\2203\</t>
    </r>
    <r>
      <rPr>
        <u/>
        <sz val="10"/>
        <color indexed="12"/>
        <rFont val="細明朝体"/>
        <family val="3"/>
        <charset val="128"/>
      </rPr>
      <t>追加資料</t>
    </r>
    <phoneticPr fontId="17"/>
  </si>
  <si>
    <r>
      <t>2203_</t>
    </r>
    <r>
      <rPr>
        <sz val="10"/>
        <rFont val="ＭＳ ゴシック"/>
        <family val="3"/>
        <charset val="128"/>
      </rPr>
      <t>暦年輸出台数推移</t>
    </r>
    <r>
      <rPr>
        <sz val="10"/>
        <rFont val="Arial"/>
        <family val="2"/>
      </rPr>
      <t>.xlsx</t>
    </r>
    <phoneticPr fontId="17"/>
  </si>
  <si>
    <r>
      <rPr>
        <sz val="10"/>
        <rFont val="ＭＳ ゴシック"/>
        <family val="3"/>
        <charset val="128"/>
      </rPr>
      <t>総務部作成の輸出台数資料を基に別途上記暦年の輸出台数を作成し転記</t>
    </r>
    <rPh sb="17" eb="19">
      <t>ジョウキ</t>
    </rPh>
    <phoneticPr fontId="17"/>
  </si>
  <si>
    <r>
      <rPr>
        <sz val="6"/>
        <rFont val="メイリオ"/>
        <family val="3"/>
        <charset val="128"/>
        <scheme val="minor"/>
      </rPr>
      <t>（単位：千台、％</t>
    </r>
    <r>
      <rPr>
        <sz val="6"/>
        <rFont val="Arial"/>
        <family val="2"/>
      </rPr>
      <t xml:space="preserve"> </t>
    </r>
    <r>
      <rPr>
        <sz val="6"/>
        <rFont val="ＭＳ ゴシック"/>
        <family val="3"/>
        <charset val="128"/>
      </rPr>
      <t>　</t>
    </r>
    <r>
      <rPr>
        <sz val="6"/>
        <rFont val="Arial"/>
        <family val="2"/>
      </rPr>
      <t xml:space="preserve"> Unit</t>
    </r>
    <r>
      <rPr>
        <sz val="6"/>
        <rFont val="ＭＳ ゴシック"/>
        <family val="3"/>
        <charset val="128"/>
      </rPr>
      <t>：</t>
    </r>
    <r>
      <rPr>
        <sz val="6"/>
        <rFont val="Arial"/>
        <family val="2"/>
      </rPr>
      <t>Thousand Vehicles, %</t>
    </r>
    <r>
      <rPr>
        <sz val="6"/>
        <rFont val="メイリオ"/>
        <family val="3"/>
        <charset val="128"/>
        <scheme val="major"/>
      </rPr>
      <t>）</t>
    </r>
    <phoneticPr fontId="29"/>
  </si>
  <si>
    <r>
      <t>（単位：千台、％ 　</t>
    </r>
    <r>
      <rPr>
        <sz val="6"/>
        <rFont val="Arial"/>
        <family val="2"/>
      </rPr>
      <t xml:space="preserve"> Unit</t>
    </r>
    <r>
      <rPr>
        <sz val="6"/>
        <rFont val="メイリオ"/>
        <family val="3"/>
        <charset val="128"/>
      </rPr>
      <t>：</t>
    </r>
    <r>
      <rPr>
        <sz val="6"/>
        <rFont val="Arial"/>
        <family val="2"/>
      </rPr>
      <t>Thousand Vehicles, %</t>
    </r>
    <r>
      <rPr>
        <sz val="6"/>
        <rFont val="メイリオ"/>
        <family val="3"/>
        <charset val="128"/>
      </rPr>
      <t xml:space="preserve">） </t>
    </r>
    <phoneticPr fontId="17"/>
  </si>
  <si>
    <r>
      <rPr>
        <sz val="7"/>
        <color theme="0"/>
        <rFont val="メイリオ"/>
        <family val="3"/>
        <charset val="128"/>
      </rPr>
      <t>会場名</t>
    </r>
    <r>
      <rPr>
        <sz val="8"/>
        <color theme="0"/>
        <rFont val="Arial"/>
        <family val="2"/>
      </rPr>
      <t xml:space="preserve">
</t>
    </r>
    <r>
      <rPr>
        <sz val="6"/>
        <color theme="0"/>
        <rFont val="Arial"/>
        <family val="2"/>
      </rPr>
      <t>Site Name</t>
    </r>
    <rPh sb="0" eb="2">
      <t>カイジョウ</t>
    </rPh>
    <rPh sb="2" eb="3">
      <t>メイ</t>
    </rPh>
    <phoneticPr fontId="17"/>
  </si>
  <si>
    <r>
      <rPr>
        <sz val="7"/>
        <color theme="0"/>
        <rFont val="メイリオ"/>
        <family val="3"/>
        <charset val="128"/>
      </rPr>
      <t>出品台数</t>
    </r>
    <r>
      <rPr>
        <sz val="8"/>
        <color theme="0"/>
        <rFont val="Arial"/>
        <family val="2"/>
      </rPr>
      <t xml:space="preserve">
</t>
    </r>
    <r>
      <rPr>
        <sz val="6"/>
        <color theme="0"/>
        <rFont val="Arial"/>
        <family val="2"/>
      </rPr>
      <t>No. of Consigned Vehicles</t>
    </r>
    <rPh sb="0" eb="2">
      <t>シュッピン</t>
    </rPh>
    <rPh sb="2" eb="4">
      <t>ダイスウ</t>
    </rPh>
    <phoneticPr fontId="29"/>
  </si>
  <si>
    <r>
      <rPr>
        <sz val="7"/>
        <color theme="0"/>
        <rFont val="メイリオ"/>
        <family val="3"/>
        <charset val="128"/>
      </rPr>
      <t>成約台数</t>
    </r>
    <r>
      <rPr>
        <sz val="8"/>
        <color theme="0"/>
        <rFont val="Arial"/>
        <family val="2"/>
      </rPr>
      <t xml:space="preserve">
</t>
    </r>
    <r>
      <rPr>
        <sz val="6"/>
        <color theme="0"/>
        <rFont val="Arial"/>
        <family val="2"/>
      </rPr>
      <t>No. of Contracted 
Vehicles</t>
    </r>
    <rPh sb="0" eb="2">
      <t>セイヤク</t>
    </rPh>
    <rPh sb="2" eb="4">
      <t>ダイスウ</t>
    </rPh>
    <phoneticPr fontId="17"/>
  </si>
  <si>
    <r>
      <rPr>
        <sz val="7"/>
        <color theme="0"/>
        <rFont val="メイリオ"/>
        <family val="3"/>
        <charset val="128"/>
      </rPr>
      <t>成約率</t>
    </r>
    <r>
      <rPr>
        <sz val="8"/>
        <color theme="0"/>
        <rFont val="Arial"/>
        <family val="2"/>
      </rPr>
      <t xml:space="preserve">
</t>
    </r>
    <r>
      <rPr>
        <sz val="6"/>
        <color theme="0"/>
        <rFont val="Arial"/>
        <family val="2"/>
      </rPr>
      <t>Contract
Completion
Rate</t>
    </r>
    <rPh sb="0" eb="2">
      <t>セイヤク</t>
    </rPh>
    <rPh sb="2" eb="3">
      <t>リツ</t>
    </rPh>
    <phoneticPr fontId="17"/>
  </si>
  <si>
    <r>
      <rPr>
        <sz val="7"/>
        <color theme="0"/>
        <rFont val="Arial"/>
        <family val="2"/>
      </rPr>
      <t>1</t>
    </r>
    <r>
      <rPr>
        <sz val="7"/>
        <color theme="0"/>
        <rFont val="メイリオ"/>
        <family val="3"/>
        <charset val="128"/>
      </rPr>
      <t>台当たり
平均成約金額</t>
    </r>
    <r>
      <rPr>
        <sz val="8"/>
        <color theme="0"/>
        <rFont val="Arial"/>
        <family val="2"/>
      </rPr>
      <t xml:space="preserve">
</t>
    </r>
    <r>
      <rPr>
        <sz val="6"/>
        <color theme="0"/>
        <rFont val="Arial"/>
        <family val="2"/>
      </rPr>
      <t>Average Price per
Contracted Vehicle</t>
    </r>
    <rPh sb="1" eb="2">
      <t>ダイ</t>
    </rPh>
    <rPh sb="2" eb="3">
      <t>ア</t>
    </rPh>
    <rPh sb="6" eb="8">
      <t>ヘイキン</t>
    </rPh>
    <rPh sb="8" eb="10">
      <t>セイヤク</t>
    </rPh>
    <rPh sb="10" eb="12">
      <t>キンガク</t>
    </rPh>
    <phoneticPr fontId="17"/>
  </si>
  <si>
    <r>
      <rPr>
        <sz val="7"/>
        <color theme="0"/>
        <rFont val="Arial"/>
        <family val="2"/>
      </rPr>
      <t>1</t>
    </r>
    <r>
      <rPr>
        <sz val="7"/>
        <color theme="0"/>
        <rFont val="メイリオ"/>
        <family val="3"/>
        <charset val="128"/>
      </rPr>
      <t>開催平均出品台数</t>
    </r>
    <r>
      <rPr>
        <sz val="8"/>
        <color theme="0"/>
        <rFont val="Arial"/>
        <family val="2"/>
      </rPr>
      <t xml:space="preserve">
</t>
    </r>
    <r>
      <rPr>
        <sz val="6"/>
        <color theme="0"/>
        <rFont val="Arial"/>
        <family val="2"/>
      </rPr>
      <t>Average No. of Consigned
Vehicles per Auction</t>
    </r>
    <rPh sb="1" eb="3">
      <t>カイサイ</t>
    </rPh>
    <rPh sb="3" eb="5">
      <t>ヘイキン</t>
    </rPh>
    <rPh sb="5" eb="7">
      <t>シュッピン</t>
    </rPh>
    <rPh sb="7" eb="9">
      <t>ダイスウ</t>
    </rPh>
    <phoneticPr fontId="17"/>
  </si>
  <si>
    <r>
      <rPr>
        <sz val="7"/>
        <color theme="0"/>
        <rFont val="メイリオ"/>
        <family val="3"/>
        <charset val="128"/>
      </rPr>
      <t>増減率</t>
    </r>
    <r>
      <rPr>
        <sz val="8"/>
        <color theme="0"/>
        <rFont val="Arial"/>
        <family val="2"/>
      </rPr>
      <t xml:space="preserve">
</t>
    </r>
    <r>
      <rPr>
        <sz val="6"/>
        <color theme="0"/>
        <rFont val="Arial"/>
        <family val="2"/>
      </rPr>
      <t>YoY Changes</t>
    </r>
    <rPh sb="0" eb="2">
      <t>ゾウゲン</t>
    </rPh>
    <rPh sb="2" eb="3">
      <t>リツ</t>
    </rPh>
    <phoneticPr fontId="17"/>
  </si>
  <si>
    <r>
      <rPr>
        <sz val="10"/>
        <rFont val="ＭＳ ゴシック"/>
        <family val="3"/>
        <charset val="128"/>
      </rPr>
      <t>＜データ入力欄＞</t>
    </r>
    <rPh sb="4" eb="6">
      <t>ニュウリョク</t>
    </rPh>
    <rPh sb="6" eb="7">
      <t>ラン</t>
    </rPh>
    <phoneticPr fontId="17"/>
  </si>
  <si>
    <r>
      <rPr>
        <sz val="6"/>
        <color theme="0"/>
        <rFont val="メイリオ"/>
        <family val="3"/>
        <charset val="128"/>
      </rPr>
      <t>過去</t>
    </r>
    <r>
      <rPr>
        <sz val="6"/>
        <color theme="0"/>
        <rFont val="Arial"/>
        <family val="2"/>
      </rPr>
      <t>10</t>
    </r>
    <r>
      <rPr>
        <sz val="6"/>
        <color theme="0"/>
        <rFont val="メイリオ"/>
        <family val="3"/>
        <charset val="128"/>
      </rPr>
      <t>年
平均増減率</t>
    </r>
    <phoneticPr fontId="29"/>
  </si>
  <si>
    <r>
      <rPr>
        <sz val="9"/>
        <rFont val="ＭＳ ゴシック"/>
        <family val="3"/>
        <charset val="128"/>
      </rPr>
      <t>過去</t>
    </r>
    <r>
      <rPr>
        <sz val="9"/>
        <rFont val="Arial"/>
        <family val="2"/>
      </rPr>
      <t>10</t>
    </r>
    <r>
      <rPr>
        <sz val="9"/>
        <rFont val="ＭＳ ゴシック"/>
        <family val="3"/>
        <charset val="128"/>
      </rPr>
      <t>年
平均増減率</t>
    </r>
    <rPh sb="0" eb="2">
      <t>カコ</t>
    </rPh>
    <rPh sb="4" eb="5">
      <t>ネン</t>
    </rPh>
    <rPh sb="6" eb="8">
      <t>ヘイキン</t>
    </rPh>
    <rPh sb="8" eb="10">
      <t>ゾウゲン</t>
    </rPh>
    <rPh sb="10" eb="11">
      <t>リツ</t>
    </rPh>
    <phoneticPr fontId="17"/>
  </si>
  <si>
    <r>
      <t xml:space="preserve"> </t>
    </r>
    <r>
      <rPr>
        <sz val="7"/>
        <rFont val="メイリオ"/>
        <family val="3"/>
        <charset val="128"/>
      </rPr>
      <t>グループ名</t>
    </r>
    <phoneticPr fontId="29"/>
  </si>
  <si>
    <r>
      <rPr>
        <sz val="7"/>
        <color theme="1"/>
        <rFont val="メイリオ"/>
        <family val="3"/>
        <charset val="128"/>
      </rPr>
      <t>台数</t>
    </r>
    <rPh sb="0" eb="2">
      <t>ダイスウ</t>
    </rPh>
    <phoneticPr fontId="17"/>
  </si>
  <si>
    <r>
      <rPr>
        <sz val="7"/>
        <color theme="1"/>
        <rFont val="メイリオ"/>
        <family val="3"/>
        <charset val="128"/>
      </rPr>
      <t>シェア</t>
    </r>
    <phoneticPr fontId="17"/>
  </si>
  <si>
    <r>
      <rPr>
        <sz val="7"/>
        <color theme="1"/>
        <rFont val="メイリオ"/>
        <family val="3"/>
        <charset val="128"/>
      </rPr>
      <t>シェア</t>
    </r>
  </si>
  <si>
    <r>
      <rPr>
        <sz val="10"/>
        <rFont val="ＭＳ ゴシック"/>
        <family val="3"/>
        <charset val="128"/>
      </rPr>
      <t>ｼｪｱ</t>
    </r>
  </si>
  <si>
    <r>
      <rPr>
        <sz val="10"/>
        <rFont val="ＭＳ ゴシック"/>
        <family val="3"/>
        <charset val="128"/>
      </rPr>
      <t>出品台数</t>
    </r>
    <rPh sb="0" eb="2">
      <t>シュッピン</t>
    </rPh>
    <rPh sb="2" eb="4">
      <t>ダイスウ</t>
    </rPh>
    <phoneticPr fontId="17"/>
  </si>
  <si>
    <r>
      <rPr>
        <sz val="10"/>
        <rFont val="ＭＳ ゴシック"/>
        <family val="3"/>
        <charset val="128"/>
      </rPr>
      <t>ＵＳＳ</t>
    </r>
  </si>
  <si>
    <r>
      <rPr>
        <sz val="10"/>
        <rFont val="ＭＳ ゴシック"/>
        <family val="3"/>
        <charset val="128"/>
      </rPr>
      <t>ＴＡＡ</t>
    </r>
  </si>
  <si>
    <r>
      <rPr>
        <sz val="10"/>
        <rFont val="ＭＳ ゴシック"/>
        <family val="3"/>
        <charset val="128"/>
      </rPr>
      <t>ＣＡＡ</t>
    </r>
  </si>
  <si>
    <r>
      <rPr>
        <sz val="10"/>
        <rFont val="ＭＳ ゴシック"/>
        <family val="3"/>
        <charset val="128"/>
      </rPr>
      <t>ＭＩＲＩＶＥ</t>
    </r>
    <phoneticPr fontId="17"/>
  </si>
  <si>
    <r>
      <rPr>
        <sz val="10"/>
        <rFont val="ＭＳ ゴシック"/>
        <family val="3"/>
        <charset val="128"/>
      </rPr>
      <t xml:space="preserve">その他
</t>
    </r>
    <r>
      <rPr>
        <sz val="10"/>
        <rFont val="Arial"/>
        <family val="2"/>
      </rPr>
      <t>Other</t>
    </r>
    <phoneticPr fontId="17"/>
  </si>
  <si>
    <r>
      <rPr>
        <sz val="10"/>
        <rFont val="ＭＳ ゴシック"/>
        <family val="3"/>
        <charset val="128"/>
      </rPr>
      <t>業界合計</t>
    </r>
  </si>
  <si>
    <r>
      <t>USS</t>
    </r>
    <r>
      <rPr>
        <sz val="10"/>
        <rFont val="ＭＳ ゴシック"/>
        <family val="3"/>
        <charset val="128"/>
      </rPr>
      <t>シェア</t>
    </r>
    <phoneticPr fontId="17"/>
  </si>
  <si>
    <r>
      <t>AA</t>
    </r>
    <r>
      <rPr>
        <sz val="10"/>
        <rFont val="ＭＳ ゴシック"/>
        <family val="3"/>
        <charset val="128"/>
      </rPr>
      <t>出品台数</t>
    </r>
    <r>
      <rPr>
        <sz val="10"/>
        <rFont val="Arial"/>
        <family val="2"/>
      </rPr>
      <t>(</t>
    </r>
    <r>
      <rPr>
        <sz val="10"/>
        <rFont val="ＭＳ ゴシック"/>
        <family val="3"/>
        <charset val="128"/>
      </rPr>
      <t>業界</t>
    </r>
    <r>
      <rPr>
        <sz val="10"/>
        <rFont val="Arial"/>
        <family val="2"/>
      </rPr>
      <t>)</t>
    </r>
    <rPh sb="2" eb="4">
      <t>シュッピン</t>
    </rPh>
    <rPh sb="4" eb="6">
      <t>ダイスウ</t>
    </rPh>
    <rPh sb="7" eb="9">
      <t>ギョウカイ</t>
    </rPh>
    <phoneticPr fontId="17"/>
  </si>
  <si>
    <r>
      <t>USS</t>
    </r>
    <r>
      <rPr>
        <sz val="10"/>
        <rFont val="ＭＳ ゴシック"/>
        <family val="3"/>
        <charset val="128"/>
      </rPr>
      <t>出品台数</t>
    </r>
    <r>
      <rPr>
        <sz val="10"/>
        <rFont val="Arial"/>
        <family val="2"/>
      </rPr>
      <t>(</t>
    </r>
    <r>
      <rPr>
        <sz val="10"/>
        <rFont val="ＭＳ ゴシック"/>
        <family val="3"/>
        <charset val="128"/>
      </rPr>
      <t>暦年</t>
    </r>
    <r>
      <rPr>
        <sz val="10"/>
        <rFont val="Arial"/>
        <family val="2"/>
      </rPr>
      <t>)</t>
    </r>
    <rPh sb="3" eb="5">
      <t>シュッピン</t>
    </rPh>
    <rPh sb="5" eb="7">
      <t>ダイスウ</t>
    </rPh>
    <rPh sb="8" eb="10">
      <t>レキネン</t>
    </rPh>
    <phoneticPr fontId="17"/>
  </si>
  <si>
    <r>
      <t>AA</t>
    </r>
    <r>
      <rPr>
        <sz val="10"/>
        <rFont val="ＭＳ ゴシック"/>
        <family val="3"/>
        <charset val="128"/>
      </rPr>
      <t>業界</t>
    </r>
    <r>
      <rPr>
        <sz val="10"/>
        <rFont val="Arial"/>
        <family val="2"/>
      </rPr>
      <t>(</t>
    </r>
    <r>
      <rPr>
        <sz val="10"/>
        <rFont val="ＭＳ ゴシック"/>
        <family val="3"/>
        <charset val="128"/>
      </rPr>
      <t>ﾕｰｽﾄｶｰ</t>
    </r>
    <r>
      <rPr>
        <sz val="10"/>
        <rFont val="Arial"/>
        <family val="2"/>
      </rPr>
      <t>)</t>
    </r>
    <rPh sb="2" eb="4">
      <t>ギョウカイ</t>
    </rPh>
    <phoneticPr fontId="17"/>
  </si>
  <si>
    <r>
      <t>USS(</t>
    </r>
    <r>
      <rPr>
        <sz val="10"/>
        <rFont val="ＭＳ ゴシック"/>
        <family val="3"/>
        <charset val="128"/>
      </rPr>
      <t>ﾕｰｽﾄｶｰ</t>
    </r>
    <r>
      <rPr>
        <sz val="10"/>
        <rFont val="Arial"/>
        <family val="2"/>
      </rPr>
      <t>)</t>
    </r>
    <phoneticPr fontId="17"/>
  </si>
  <si>
    <r>
      <t>AA</t>
    </r>
    <r>
      <rPr>
        <sz val="10"/>
        <rFont val="ＭＳ ゴシック"/>
        <family val="3"/>
        <charset val="128"/>
      </rPr>
      <t>業界台数差</t>
    </r>
    <rPh sb="2" eb="4">
      <t>ギョウカイ</t>
    </rPh>
    <rPh sb="4" eb="6">
      <t>ダイスウ</t>
    </rPh>
    <rPh sb="6" eb="7">
      <t>サ</t>
    </rPh>
    <phoneticPr fontId="17"/>
  </si>
  <si>
    <r>
      <t>USS</t>
    </r>
    <r>
      <rPr>
        <sz val="10"/>
        <rFont val="ＭＳ ゴシック"/>
        <family val="3"/>
        <charset val="128"/>
      </rPr>
      <t>台数差</t>
    </r>
    <rPh sb="3" eb="5">
      <t>ダイスウ</t>
    </rPh>
    <rPh sb="5" eb="6">
      <t>サ</t>
    </rPh>
    <phoneticPr fontId="17"/>
  </si>
  <si>
    <r>
      <rPr>
        <sz val="10"/>
        <rFont val="ＭＳ ゴシック"/>
        <family val="3"/>
        <charset val="128"/>
      </rPr>
      <t>＜注意事項＞</t>
    </r>
    <rPh sb="1" eb="3">
      <t>チュウイ</t>
    </rPh>
    <rPh sb="3" eb="5">
      <t>ジコウ</t>
    </rPh>
    <phoneticPr fontId="17"/>
  </si>
  <si>
    <r>
      <rPr>
        <sz val="10"/>
        <rFont val="ＭＳ ゴシック"/>
        <family val="3"/>
        <charset val="128"/>
      </rPr>
      <t>　■</t>
    </r>
    <r>
      <rPr>
        <sz val="10"/>
        <rFont val="Arial"/>
        <family val="2"/>
      </rPr>
      <t>USS</t>
    </r>
    <r>
      <rPr>
        <sz val="10"/>
        <rFont val="ＭＳ ゴシック"/>
        <family val="3"/>
        <charset val="128"/>
      </rPr>
      <t>シェア推移のグラフについて、</t>
    </r>
    <r>
      <rPr>
        <sz val="10"/>
        <rFont val="Arial"/>
        <family val="2"/>
      </rPr>
      <t>2016</t>
    </r>
    <r>
      <rPr>
        <sz val="10"/>
        <rFont val="ＭＳ ゴシック"/>
        <family val="3"/>
        <charset val="128"/>
      </rPr>
      <t>年</t>
    </r>
    <r>
      <rPr>
        <sz val="10"/>
        <rFont val="Arial"/>
        <family val="2"/>
      </rPr>
      <t>3</t>
    </r>
    <r>
      <rPr>
        <sz val="10"/>
        <rFont val="ＭＳ ゴシック"/>
        <family val="3"/>
        <charset val="128"/>
      </rPr>
      <t>月期までは</t>
    </r>
    <r>
      <rPr>
        <sz val="10"/>
        <rFont val="Arial"/>
        <family val="2"/>
      </rPr>
      <t>95</t>
    </r>
    <r>
      <rPr>
        <sz val="10"/>
        <rFont val="ＭＳ ゴシック"/>
        <family val="3"/>
        <charset val="128"/>
      </rPr>
      <t>年以降</t>
    </r>
    <r>
      <rPr>
        <sz val="10"/>
        <rFont val="Arial"/>
        <family val="2"/>
      </rPr>
      <t>11</t>
    </r>
    <r>
      <rPr>
        <sz val="10"/>
        <rFont val="ＭＳ ゴシック"/>
        <family val="3"/>
        <charset val="128"/>
      </rPr>
      <t>年前までの実績を省略していたが、</t>
    </r>
    <r>
      <rPr>
        <sz val="10"/>
        <rFont val="Arial"/>
        <family val="2"/>
      </rPr>
      <t>2017</t>
    </r>
    <r>
      <rPr>
        <sz val="10"/>
        <rFont val="ＭＳ ゴシック"/>
        <family val="3"/>
        <charset val="128"/>
      </rPr>
      <t>年</t>
    </r>
    <r>
      <rPr>
        <sz val="10"/>
        <rFont val="Arial"/>
        <family val="2"/>
      </rPr>
      <t>3</t>
    </r>
    <r>
      <rPr>
        <sz val="10"/>
        <rFont val="ＭＳ ゴシック"/>
        <family val="3"/>
        <charset val="128"/>
      </rPr>
      <t>月期から</t>
    </r>
    <r>
      <rPr>
        <sz val="10"/>
        <rFont val="Arial"/>
        <family val="2"/>
      </rPr>
      <t>1990</t>
    </r>
    <r>
      <rPr>
        <sz val="10"/>
        <rFont val="ＭＳ ゴシック"/>
        <family val="3"/>
        <charset val="128"/>
      </rPr>
      <t>年以降全ての年度のシェアをグラフ化する</t>
    </r>
    <r>
      <rPr>
        <sz val="10"/>
        <rFont val="Arial"/>
        <family val="2"/>
      </rPr>
      <t>(</t>
    </r>
    <r>
      <rPr>
        <sz val="10"/>
        <rFont val="ＭＳ ゴシック"/>
        <family val="3"/>
        <charset val="128"/>
      </rPr>
      <t>毎年グラフのデータ範囲を更新する必要がある</t>
    </r>
    <r>
      <rPr>
        <sz val="10"/>
        <rFont val="Arial"/>
        <family val="2"/>
      </rPr>
      <t>)</t>
    </r>
    <rPh sb="8" eb="10">
      <t>スイイ</t>
    </rPh>
    <rPh sb="23" eb="24">
      <t>ネン</t>
    </rPh>
    <rPh sb="25" eb="27">
      <t>ガツキ</t>
    </rPh>
    <rPh sb="32" eb="33">
      <t>ネン</t>
    </rPh>
    <rPh sb="33" eb="35">
      <t>イコウ</t>
    </rPh>
    <rPh sb="37" eb="39">
      <t>ネンマエ</t>
    </rPh>
    <rPh sb="42" eb="44">
      <t>ジッセキ</t>
    </rPh>
    <rPh sb="45" eb="47">
      <t>ショウリャク</t>
    </rPh>
    <rPh sb="57" eb="58">
      <t>ネン</t>
    </rPh>
    <rPh sb="59" eb="61">
      <t>ガツキ</t>
    </rPh>
    <rPh sb="67" eb="70">
      <t>ネンイコウ</t>
    </rPh>
    <rPh sb="70" eb="71">
      <t>スベ</t>
    </rPh>
    <rPh sb="73" eb="75">
      <t>ネンド</t>
    </rPh>
    <rPh sb="83" eb="84">
      <t>カ</t>
    </rPh>
    <rPh sb="87" eb="89">
      <t>マイトシ</t>
    </rPh>
    <rPh sb="96" eb="98">
      <t>ハンイ</t>
    </rPh>
    <rPh sb="99" eb="101">
      <t>コウシン</t>
    </rPh>
    <rPh sb="103" eb="105">
      <t>ヒツヨウ</t>
    </rPh>
    <phoneticPr fontId="17"/>
  </si>
  <si>
    <r>
      <rPr>
        <sz val="10"/>
        <rFont val="ＭＳ ゴシック"/>
        <family val="3"/>
        <charset val="128"/>
      </rPr>
      <t>　　</t>
    </r>
    <r>
      <rPr>
        <sz val="10"/>
        <rFont val="Arial"/>
        <family val="2"/>
      </rPr>
      <t>2016</t>
    </r>
    <r>
      <rPr>
        <sz val="10"/>
        <rFont val="ＭＳ ゴシック"/>
        <family val="3"/>
        <charset val="128"/>
      </rPr>
      <t>年</t>
    </r>
    <r>
      <rPr>
        <sz val="10"/>
        <rFont val="Arial"/>
        <family val="2"/>
      </rPr>
      <t>3</t>
    </r>
    <r>
      <rPr>
        <sz val="10"/>
        <rFont val="ＭＳ ゴシック"/>
        <family val="3"/>
        <charset val="128"/>
      </rPr>
      <t>月期まで表示していた「業界グループ別シェア推移」グラフ</t>
    </r>
    <r>
      <rPr>
        <sz val="10"/>
        <rFont val="Arial"/>
        <family val="2"/>
      </rPr>
      <t>(</t>
    </r>
    <r>
      <rPr>
        <sz val="10"/>
        <rFont val="ＭＳ ゴシック"/>
        <family val="3"/>
        <charset val="128"/>
      </rPr>
      <t>真ん中）は、</t>
    </r>
    <r>
      <rPr>
        <sz val="10"/>
        <rFont val="Arial"/>
        <family val="2"/>
      </rPr>
      <t>10</t>
    </r>
    <r>
      <rPr>
        <sz val="10"/>
        <rFont val="ＭＳ ゴシック"/>
        <family val="3"/>
        <charset val="128"/>
      </rPr>
      <t>年前と比較してどれだけ</t>
    </r>
    <r>
      <rPr>
        <sz val="10"/>
        <rFont val="Arial"/>
        <family val="2"/>
      </rPr>
      <t>USS</t>
    </r>
    <r>
      <rPr>
        <sz val="10"/>
        <rFont val="ＭＳ ゴシック"/>
        <family val="3"/>
        <charset val="128"/>
      </rPr>
      <t>が伸びているかをアピールするために表示していたが、シェアが下がっている現状では無意味なグラフであったため削除する。</t>
    </r>
    <rPh sb="6" eb="7">
      <t>ネン</t>
    </rPh>
    <rPh sb="8" eb="10">
      <t>ガツキ</t>
    </rPh>
    <rPh sb="12" eb="14">
      <t>ヒョウジ</t>
    </rPh>
    <rPh sb="19" eb="21">
      <t>ギョウカイ</t>
    </rPh>
    <rPh sb="25" eb="26">
      <t>ベツ</t>
    </rPh>
    <rPh sb="29" eb="31">
      <t>スイイ</t>
    </rPh>
    <rPh sb="36" eb="37">
      <t>マ</t>
    </rPh>
    <rPh sb="38" eb="39">
      <t>ナカ</t>
    </rPh>
    <rPh sb="44" eb="46">
      <t>ネンマエ</t>
    </rPh>
    <rPh sb="47" eb="49">
      <t>ヒカク</t>
    </rPh>
    <rPh sb="59" eb="60">
      <t>ノ</t>
    </rPh>
    <rPh sb="75" eb="77">
      <t>ヒョウジ</t>
    </rPh>
    <rPh sb="87" eb="88">
      <t>サ</t>
    </rPh>
    <rPh sb="93" eb="95">
      <t>ゲンジョウ</t>
    </rPh>
    <rPh sb="97" eb="100">
      <t>ムイミ</t>
    </rPh>
    <rPh sb="110" eb="112">
      <t>サクジョ</t>
    </rPh>
    <phoneticPr fontId="17"/>
  </si>
  <si>
    <r>
      <t xml:space="preserve">   </t>
    </r>
    <r>
      <rPr>
        <sz val="10"/>
        <rFont val="ＭＳ ゴシック"/>
        <family val="3"/>
        <charset val="128"/>
      </rPr>
      <t>よって、余ったスペースを活かすため、</t>
    </r>
    <r>
      <rPr>
        <sz val="10"/>
        <rFont val="Arial"/>
        <family val="2"/>
      </rPr>
      <t>1990</t>
    </r>
    <r>
      <rPr>
        <sz val="10"/>
        <rFont val="ＭＳ ゴシック"/>
        <family val="3"/>
        <charset val="128"/>
      </rPr>
      <t>年以降のシェアグラフを表示することにした。</t>
    </r>
    <r>
      <rPr>
        <sz val="10"/>
        <rFont val="Arial"/>
        <family val="2"/>
      </rPr>
      <t>(2017</t>
    </r>
    <r>
      <rPr>
        <sz val="10"/>
        <rFont val="ＭＳ ゴシック"/>
        <family val="3"/>
        <charset val="128"/>
      </rPr>
      <t>年</t>
    </r>
    <r>
      <rPr>
        <sz val="10"/>
        <rFont val="Arial"/>
        <family val="2"/>
      </rPr>
      <t>5</t>
    </r>
    <r>
      <rPr>
        <sz val="10"/>
        <rFont val="ＭＳ ゴシック"/>
        <family val="3"/>
        <charset val="128"/>
      </rPr>
      <t>月</t>
    </r>
    <r>
      <rPr>
        <sz val="10"/>
        <rFont val="Arial"/>
        <family val="2"/>
      </rPr>
      <t>3</t>
    </r>
    <r>
      <rPr>
        <sz val="10"/>
        <rFont val="ＭＳ ゴシック"/>
        <family val="3"/>
        <charset val="128"/>
      </rPr>
      <t>日服部副部長・山中副社長確認済</t>
    </r>
    <r>
      <rPr>
        <sz val="10"/>
        <rFont val="Arial"/>
        <family val="2"/>
      </rPr>
      <t>)</t>
    </r>
    <phoneticPr fontId="17"/>
  </si>
  <si>
    <r>
      <rPr>
        <sz val="10"/>
        <rFont val="ＭＳ ゴシック"/>
        <family val="3"/>
        <charset val="128"/>
      </rPr>
      <t>　　</t>
    </r>
    <r>
      <rPr>
        <sz val="10"/>
        <rFont val="Arial"/>
        <family val="2"/>
      </rPr>
      <t>USS</t>
    </r>
    <r>
      <rPr>
        <sz val="10"/>
        <rFont val="ＭＳ ゴシック"/>
        <family val="3"/>
        <charset val="128"/>
      </rPr>
      <t>出品台数</t>
    </r>
    <r>
      <rPr>
        <sz val="10"/>
        <rFont val="Arial"/>
        <family val="2"/>
      </rPr>
      <t>(</t>
    </r>
    <r>
      <rPr>
        <sz val="10"/>
        <rFont val="ＭＳ ゴシック"/>
        <family val="3"/>
        <charset val="128"/>
      </rPr>
      <t>暦年</t>
    </r>
    <r>
      <rPr>
        <sz val="10"/>
        <rFont val="Arial"/>
        <family val="2"/>
      </rPr>
      <t>)</t>
    </r>
    <r>
      <rPr>
        <sz val="10"/>
        <rFont val="ＭＳ ゴシック"/>
        <family val="3"/>
        <charset val="128"/>
      </rPr>
      <t>の</t>
    </r>
    <r>
      <rPr>
        <sz val="10"/>
        <rFont val="Arial"/>
        <family val="2"/>
      </rPr>
      <t>1998</t>
    </r>
    <r>
      <rPr>
        <sz val="10"/>
        <rFont val="ＭＳ ゴシック"/>
        <family val="3"/>
        <charset val="128"/>
      </rPr>
      <t>年までは、「会場別</t>
    </r>
    <r>
      <rPr>
        <sz val="10"/>
        <rFont val="Arial"/>
        <family val="2"/>
      </rPr>
      <t>AA</t>
    </r>
    <r>
      <rPr>
        <sz val="10"/>
        <rFont val="ＭＳ ゴシック"/>
        <family val="3"/>
        <charset val="128"/>
      </rPr>
      <t>実績表</t>
    </r>
    <r>
      <rPr>
        <sz val="10"/>
        <rFont val="Arial"/>
        <family val="2"/>
      </rPr>
      <t>ALL(S58.8</t>
    </r>
    <r>
      <rPr>
        <sz val="10"/>
        <rFont val="ＭＳ ゴシック"/>
        <family val="3"/>
        <charset val="128"/>
      </rPr>
      <t>～</t>
    </r>
    <r>
      <rPr>
        <sz val="10"/>
        <rFont val="Arial"/>
        <family val="2"/>
      </rPr>
      <t>).xls</t>
    </r>
    <r>
      <rPr>
        <sz val="10"/>
        <rFont val="ＭＳ ゴシック"/>
        <family val="3"/>
        <charset val="128"/>
      </rPr>
      <t>」を参照。</t>
    </r>
    <r>
      <rPr>
        <sz val="10"/>
        <rFont val="Arial"/>
        <family val="2"/>
      </rPr>
      <t>1999</t>
    </r>
    <r>
      <rPr>
        <sz val="10"/>
        <rFont val="ＭＳ ゴシック"/>
        <family val="3"/>
        <charset val="128"/>
      </rPr>
      <t>年以降はユーストカーの掲載台数を参照。</t>
    </r>
    <rPh sb="67" eb="69">
      <t>ケイサイ</t>
    </rPh>
    <rPh sb="69" eb="71">
      <t>ダイスウ</t>
    </rPh>
    <phoneticPr fontId="17"/>
  </si>
  <si>
    <r>
      <rPr>
        <sz val="10"/>
        <rFont val="ＭＳ ゴシック"/>
        <family val="3"/>
        <charset val="128"/>
      </rPr>
      <t>　　</t>
    </r>
    <r>
      <rPr>
        <sz val="10"/>
        <rFont val="Arial"/>
        <family val="2"/>
      </rPr>
      <t>AA</t>
    </r>
    <r>
      <rPr>
        <sz val="10"/>
        <rFont val="ＭＳ ゴシック"/>
        <family val="3"/>
        <charset val="128"/>
      </rPr>
      <t>出品台数</t>
    </r>
    <r>
      <rPr>
        <sz val="10"/>
        <rFont val="Arial"/>
        <family val="2"/>
      </rPr>
      <t>(</t>
    </r>
    <r>
      <rPr>
        <sz val="10"/>
        <rFont val="ＭＳ ゴシック"/>
        <family val="3"/>
        <charset val="128"/>
      </rPr>
      <t>業界</t>
    </r>
    <r>
      <rPr>
        <sz val="10"/>
        <rFont val="Arial"/>
        <family val="2"/>
      </rPr>
      <t>)</t>
    </r>
    <r>
      <rPr>
        <sz val="10"/>
        <rFont val="ＭＳ ゴシック"/>
        <family val="3"/>
        <charset val="128"/>
      </rPr>
      <t>は、ユーストカー掲載された最新の台数を参照</t>
    </r>
    <r>
      <rPr>
        <sz val="10"/>
        <rFont val="Arial"/>
        <family val="2"/>
      </rPr>
      <t>(</t>
    </r>
    <r>
      <rPr>
        <sz val="10"/>
        <rFont val="ＭＳ ゴシック"/>
        <family val="3"/>
        <charset val="128"/>
      </rPr>
      <t>下記のとおり</t>
    </r>
    <r>
      <rPr>
        <sz val="10"/>
        <rFont val="Arial"/>
        <family val="2"/>
      </rPr>
      <t>2015</t>
    </r>
    <r>
      <rPr>
        <sz val="10"/>
        <rFont val="ＭＳ ゴシック"/>
        <family val="3"/>
        <charset val="128"/>
      </rPr>
      <t>年分は例外</t>
    </r>
    <r>
      <rPr>
        <sz val="10"/>
        <rFont val="Arial"/>
        <family val="2"/>
      </rPr>
      <t>)</t>
    </r>
    <rPh sb="20" eb="22">
      <t>ケイサイ</t>
    </rPh>
    <rPh sb="25" eb="27">
      <t>サイシン</t>
    </rPh>
    <rPh sb="28" eb="30">
      <t>ダイスウ</t>
    </rPh>
    <rPh sb="31" eb="33">
      <t>サンショウ</t>
    </rPh>
    <rPh sb="34" eb="36">
      <t>カキ</t>
    </rPh>
    <rPh sb="44" eb="46">
      <t>ネンブン</t>
    </rPh>
    <rPh sb="47" eb="49">
      <t>レイガイ</t>
    </rPh>
    <phoneticPr fontId="17"/>
  </si>
  <si>
    <r>
      <rPr>
        <sz val="10"/>
        <rFont val="ＭＳ ゴシック"/>
        <family val="3"/>
        <charset val="128"/>
      </rPr>
      <t>　■</t>
    </r>
    <r>
      <rPr>
        <sz val="10"/>
        <rFont val="Arial"/>
        <family val="2"/>
      </rPr>
      <t>2012</t>
    </r>
    <r>
      <rPr>
        <sz val="10"/>
        <rFont val="ＭＳ ゴシック"/>
        <family val="3"/>
        <charset val="128"/>
      </rPr>
      <t>年のﾒｰｶｰ・ﾃﾞｨｰﾗｰ系の出品台数については、</t>
    </r>
    <r>
      <rPr>
        <sz val="10"/>
        <rFont val="Arial"/>
        <family val="2"/>
      </rPr>
      <t>2012</t>
    </r>
    <r>
      <rPr>
        <sz val="10"/>
        <rFont val="ＭＳ ゴシック"/>
        <family val="3"/>
        <charset val="128"/>
      </rPr>
      <t>年発表時と</t>
    </r>
    <r>
      <rPr>
        <sz val="10"/>
        <rFont val="Arial"/>
        <family val="2"/>
      </rPr>
      <t>2013</t>
    </r>
    <r>
      <rPr>
        <sz val="10"/>
        <rFont val="ＭＳ ゴシック"/>
        <family val="3"/>
        <charset val="128"/>
      </rPr>
      <t>年発表時で出品台数が異なっているが、最新である</t>
    </r>
    <r>
      <rPr>
        <sz val="10"/>
        <rFont val="Arial"/>
        <family val="2"/>
      </rPr>
      <t>2013</t>
    </r>
    <r>
      <rPr>
        <sz val="10"/>
        <rFont val="ＭＳ ゴシック"/>
        <family val="3"/>
        <charset val="128"/>
      </rPr>
      <t>年発表時のデータに変更する。</t>
    </r>
    <rPh sb="6" eb="7">
      <t>ネン</t>
    </rPh>
    <rPh sb="21" eb="23">
      <t>シュッピン</t>
    </rPh>
    <rPh sb="23" eb="25">
      <t>ダイスウ</t>
    </rPh>
    <rPh sb="35" eb="36">
      <t>ネン</t>
    </rPh>
    <rPh sb="36" eb="38">
      <t>ハッピョウ</t>
    </rPh>
    <rPh sb="38" eb="39">
      <t>ジ</t>
    </rPh>
    <rPh sb="44" eb="45">
      <t>ネン</t>
    </rPh>
    <rPh sb="45" eb="47">
      <t>ハッピョウ</t>
    </rPh>
    <rPh sb="47" eb="48">
      <t>ジ</t>
    </rPh>
    <rPh sb="49" eb="51">
      <t>シュッピン</t>
    </rPh>
    <rPh sb="51" eb="53">
      <t>ダイスウ</t>
    </rPh>
    <rPh sb="54" eb="55">
      <t>コト</t>
    </rPh>
    <rPh sb="62" eb="64">
      <t>サイシン</t>
    </rPh>
    <rPh sb="71" eb="72">
      <t>ネン</t>
    </rPh>
    <rPh sb="72" eb="74">
      <t>ハッピョウ</t>
    </rPh>
    <rPh sb="74" eb="75">
      <t>ジ</t>
    </rPh>
    <rPh sb="80" eb="82">
      <t>ヘンコウ</t>
    </rPh>
    <phoneticPr fontId="17"/>
  </si>
  <si>
    <r>
      <t xml:space="preserve"> </t>
    </r>
    <r>
      <rPr>
        <sz val="10"/>
        <rFont val="ＭＳ ゴシック"/>
        <family val="3"/>
        <charset val="128"/>
      </rPr>
      <t>　（※ホンダＡＡ北海道の出品台数</t>
    </r>
    <r>
      <rPr>
        <sz val="10"/>
        <rFont val="Arial"/>
        <family val="2"/>
      </rPr>
      <t>160</t>
    </r>
    <r>
      <rPr>
        <sz val="10"/>
        <rFont val="ＭＳ ゴシック"/>
        <family val="3"/>
        <charset val="128"/>
      </rPr>
      <t>台が増加している。）</t>
    </r>
    <rPh sb="13" eb="15">
      <t>シュッピン</t>
    </rPh>
    <rPh sb="15" eb="17">
      <t>ダイスウ</t>
    </rPh>
    <rPh sb="20" eb="21">
      <t>ダイ</t>
    </rPh>
    <rPh sb="22" eb="24">
      <t>ゾウカ</t>
    </rPh>
    <phoneticPr fontId="17"/>
  </si>
  <si>
    <r>
      <t xml:space="preserve">    2019</t>
    </r>
    <r>
      <rPr>
        <sz val="10"/>
        <rFont val="ＭＳ ゴシック"/>
        <family val="3"/>
        <charset val="128"/>
      </rPr>
      <t>年</t>
    </r>
    <r>
      <rPr>
        <sz val="10"/>
        <rFont val="Arial"/>
        <family val="2"/>
      </rPr>
      <t>2</t>
    </r>
    <r>
      <rPr>
        <sz val="10"/>
        <rFont val="ＭＳ ゴシック"/>
        <family val="3"/>
        <charset val="128"/>
      </rPr>
      <t>月加筆：ﾕｰｽﾄｶｰ</t>
    </r>
    <r>
      <rPr>
        <sz val="10"/>
        <rFont val="Arial"/>
        <family val="2"/>
      </rPr>
      <t>2013</t>
    </r>
    <r>
      <rPr>
        <sz val="10"/>
        <rFont val="ＭＳ ゴシック"/>
        <family val="3"/>
        <charset val="128"/>
      </rPr>
      <t>年</t>
    </r>
    <r>
      <rPr>
        <sz val="10"/>
        <rFont val="Arial"/>
        <family val="2"/>
      </rPr>
      <t>2</t>
    </r>
    <r>
      <rPr>
        <sz val="10"/>
        <rFont val="ＭＳ ゴシック"/>
        <family val="3"/>
        <charset val="128"/>
      </rPr>
      <t>月号はｸﾞﾙｰﾌﾟ別出品</t>
    </r>
    <r>
      <rPr>
        <sz val="10"/>
        <rFont val="Arial"/>
        <family val="2"/>
      </rPr>
      <t>&amp;</t>
    </r>
    <r>
      <rPr>
        <sz val="10"/>
        <rFont val="ＭＳ ゴシック"/>
        <family val="3"/>
        <charset val="128"/>
      </rPr>
      <t>ｼｪｱとﾒｰｶｰ系ｵｰｸｼｮﾝ結果ともに、</t>
    </r>
    <r>
      <rPr>
        <sz val="10"/>
        <rFont val="Arial"/>
        <family val="2"/>
      </rPr>
      <t>2014</t>
    </r>
    <r>
      <rPr>
        <sz val="10"/>
        <rFont val="ＭＳ ゴシック"/>
        <family val="3"/>
        <charset val="128"/>
      </rPr>
      <t>年</t>
    </r>
    <r>
      <rPr>
        <sz val="10"/>
        <rFont val="Arial"/>
        <family val="2"/>
      </rPr>
      <t>2</t>
    </r>
    <r>
      <rPr>
        <sz val="10"/>
        <rFont val="ＭＳ ゴシック"/>
        <family val="3"/>
        <charset val="128"/>
      </rPr>
      <t>月号はｸﾞﾙｰﾌﾟ別出品において</t>
    </r>
    <r>
      <rPr>
        <sz val="10"/>
        <rFont val="Arial"/>
        <family val="2"/>
      </rPr>
      <t>2012</t>
    </r>
    <r>
      <rPr>
        <sz val="10"/>
        <rFont val="ＭＳ ゴシック"/>
        <family val="3"/>
        <charset val="128"/>
      </rPr>
      <t>年のホンダの暦年出品台数は</t>
    </r>
    <r>
      <rPr>
        <sz val="10"/>
        <rFont val="Arial"/>
        <family val="2"/>
      </rPr>
      <t>173,936</t>
    </r>
    <r>
      <rPr>
        <sz val="10"/>
        <rFont val="ＭＳ ゴシック"/>
        <family val="3"/>
        <charset val="128"/>
      </rPr>
      <t>台であったが、</t>
    </r>
    <rPh sb="8" eb="9">
      <t>ネン</t>
    </rPh>
    <rPh sb="10" eb="11">
      <t>ガツ</t>
    </rPh>
    <rPh sb="11" eb="13">
      <t>カヒツ</t>
    </rPh>
    <rPh sb="24" eb="25">
      <t>ネン</t>
    </rPh>
    <rPh sb="26" eb="28">
      <t>ガツゴウ</t>
    </rPh>
    <rPh sb="35" eb="36">
      <t>ベツ</t>
    </rPh>
    <rPh sb="36" eb="38">
      <t>シュッピン</t>
    </rPh>
    <rPh sb="47" eb="48">
      <t>ケイ</t>
    </rPh>
    <rPh sb="54" eb="56">
      <t>ケッカ</t>
    </rPh>
    <rPh sb="64" eb="65">
      <t>ネン</t>
    </rPh>
    <rPh sb="66" eb="68">
      <t>ガツゴウ</t>
    </rPh>
    <rPh sb="75" eb="76">
      <t>ベツ</t>
    </rPh>
    <rPh sb="76" eb="78">
      <t>シュッピン</t>
    </rPh>
    <rPh sb="86" eb="87">
      <t>ネン</t>
    </rPh>
    <rPh sb="92" eb="94">
      <t>レキネン</t>
    </rPh>
    <rPh sb="94" eb="96">
      <t>シュッピン</t>
    </rPh>
    <rPh sb="96" eb="98">
      <t>ダイスウ</t>
    </rPh>
    <rPh sb="106" eb="107">
      <t>ダイ</t>
    </rPh>
    <phoneticPr fontId="17"/>
  </si>
  <si>
    <r>
      <t xml:space="preserve">                   2014</t>
    </r>
    <r>
      <rPr>
        <sz val="10"/>
        <rFont val="ＭＳ ゴシック"/>
        <family val="3"/>
        <charset val="128"/>
      </rPr>
      <t>年</t>
    </r>
    <r>
      <rPr>
        <sz val="10"/>
        <rFont val="Arial"/>
        <family val="2"/>
      </rPr>
      <t>2</t>
    </r>
    <r>
      <rPr>
        <sz val="10"/>
        <rFont val="ＭＳ ゴシック"/>
        <family val="3"/>
        <charset val="128"/>
      </rPr>
      <t>月号のﾒｰｶｰ系ｵｰｸｼｮﾝ結果のみホンダＡＡ北海道の出品台数が</t>
    </r>
    <r>
      <rPr>
        <sz val="10"/>
        <rFont val="Arial"/>
        <family val="2"/>
      </rPr>
      <t>8,956</t>
    </r>
    <r>
      <rPr>
        <sz val="10"/>
        <rFont val="ＭＳ ゴシック"/>
        <family val="3"/>
        <charset val="128"/>
      </rPr>
      <t>台から</t>
    </r>
    <r>
      <rPr>
        <sz val="10"/>
        <rFont val="Arial"/>
        <family val="2"/>
      </rPr>
      <t>9,116</t>
    </r>
    <r>
      <rPr>
        <sz val="10"/>
        <rFont val="ＭＳ ゴシック"/>
        <family val="3"/>
        <charset val="128"/>
      </rPr>
      <t>台に増加し、合計も</t>
    </r>
    <r>
      <rPr>
        <sz val="10"/>
        <rFont val="Arial"/>
        <family val="2"/>
      </rPr>
      <t>174,096</t>
    </r>
    <r>
      <rPr>
        <sz val="10"/>
        <rFont val="ＭＳ ゴシック"/>
        <family val="3"/>
        <charset val="128"/>
      </rPr>
      <t>台に増加している。</t>
    </r>
    <rPh sb="23" eb="24">
      <t>ネン</t>
    </rPh>
    <rPh sb="25" eb="27">
      <t>ガツゴウ</t>
    </rPh>
    <rPh sb="32" eb="33">
      <t>ケイ</t>
    </rPh>
    <rPh sb="39" eb="41">
      <t>ケッカ</t>
    </rPh>
    <rPh sb="48" eb="51">
      <t>ホッカイドウ</t>
    </rPh>
    <rPh sb="52" eb="54">
      <t>シュッピン</t>
    </rPh>
    <rPh sb="54" eb="56">
      <t>ダイスウ</t>
    </rPh>
    <rPh sb="58" eb="63">
      <t>９５６ダイ</t>
    </rPh>
    <rPh sb="66" eb="71">
      <t>１１６ダイ</t>
    </rPh>
    <rPh sb="72" eb="74">
      <t>ゾウカ</t>
    </rPh>
    <rPh sb="76" eb="78">
      <t>ゴウケイ</t>
    </rPh>
    <rPh sb="82" eb="87">
      <t>０９６ダイ</t>
    </rPh>
    <rPh sb="88" eb="90">
      <t>ゾウカ</t>
    </rPh>
    <phoneticPr fontId="17"/>
  </si>
  <si>
    <r>
      <t xml:space="preserve">                   </t>
    </r>
    <r>
      <rPr>
        <sz val="10"/>
        <rFont val="ＭＳ ゴシック"/>
        <family val="3"/>
        <charset val="128"/>
      </rPr>
      <t>ホンダの合計台数は年によって掲載される年とされない年があるが、最新の明細を合算した</t>
    </r>
    <r>
      <rPr>
        <sz val="10"/>
        <rFont val="Arial"/>
        <family val="2"/>
      </rPr>
      <t>174,096</t>
    </r>
    <r>
      <rPr>
        <sz val="10"/>
        <rFont val="ＭＳ ゴシック"/>
        <family val="3"/>
        <charset val="128"/>
      </rPr>
      <t>台を採用するということ</t>
    </r>
    <rPh sb="23" eb="25">
      <t>ゴウケイ</t>
    </rPh>
    <rPh sb="25" eb="27">
      <t>ダイスウ</t>
    </rPh>
    <rPh sb="28" eb="29">
      <t>トシ</t>
    </rPh>
    <rPh sb="33" eb="35">
      <t>ケイサイ</t>
    </rPh>
    <rPh sb="38" eb="39">
      <t>トシ</t>
    </rPh>
    <rPh sb="44" eb="45">
      <t>トシ</t>
    </rPh>
    <rPh sb="50" eb="52">
      <t>サイシン</t>
    </rPh>
    <rPh sb="53" eb="55">
      <t>メイサイ</t>
    </rPh>
    <rPh sb="56" eb="58">
      <t>ガッサン</t>
    </rPh>
    <rPh sb="63" eb="68">
      <t>０９６ダイ</t>
    </rPh>
    <rPh sb="69" eb="71">
      <t>サイヨウ</t>
    </rPh>
    <phoneticPr fontId="17"/>
  </si>
  <si>
    <r>
      <rPr>
        <sz val="10"/>
        <rFont val="ＭＳ ゴシック"/>
        <family val="3"/>
        <charset val="128"/>
      </rPr>
      <t>　■</t>
    </r>
    <r>
      <rPr>
        <sz val="10"/>
        <rFont val="Arial"/>
        <family val="2"/>
      </rPr>
      <t>2005</t>
    </r>
    <r>
      <rPr>
        <sz val="10"/>
        <rFont val="ＭＳ ゴシック"/>
        <family val="3"/>
        <charset val="128"/>
      </rPr>
      <t>年の企業系台数は、ﾕｰｽﾄｶｰ発表当初は</t>
    </r>
    <r>
      <rPr>
        <sz val="10"/>
        <rFont val="Arial"/>
        <family val="2"/>
      </rPr>
      <t>5,613,963</t>
    </r>
    <r>
      <rPr>
        <sz val="10"/>
        <rFont val="ＭＳ ゴシック"/>
        <family val="3"/>
        <charset val="128"/>
      </rPr>
      <t>台であったが、翌年に</t>
    </r>
    <r>
      <rPr>
        <sz val="10"/>
        <rFont val="Arial"/>
        <family val="2"/>
      </rPr>
      <t>5,631,195</t>
    </r>
    <r>
      <rPr>
        <sz val="10"/>
        <rFont val="ＭＳ ゴシック"/>
        <family val="3"/>
        <charset val="128"/>
      </rPr>
      <t>台に修正した。</t>
    </r>
    <r>
      <rPr>
        <sz val="10"/>
        <rFont val="Arial"/>
        <family val="2"/>
      </rPr>
      <t>(2005</t>
    </r>
    <r>
      <rPr>
        <sz val="10"/>
        <rFont val="ＭＳ ゴシック"/>
        <family val="3"/>
        <charset val="128"/>
      </rPr>
      <t>年発表時に京都オートオークションが抜けていた。</t>
    </r>
    <r>
      <rPr>
        <sz val="10"/>
        <rFont val="Arial"/>
        <family val="2"/>
      </rPr>
      <t>)</t>
    </r>
    <rPh sb="6" eb="7">
      <t>ネン</t>
    </rPh>
    <rPh sb="8" eb="11">
      <t>キギョウケイ</t>
    </rPh>
    <rPh sb="11" eb="13">
      <t>ダイスウ</t>
    </rPh>
    <rPh sb="21" eb="23">
      <t>ハッピョウ</t>
    </rPh>
    <rPh sb="23" eb="25">
      <t>トウショ</t>
    </rPh>
    <rPh sb="35" eb="36">
      <t>ダイ</t>
    </rPh>
    <rPh sb="42" eb="44">
      <t>ヨクトシ</t>
    </rPh>
    <rPh sb="54" eb="55">
      <t>ダイ</t>
    </rPh>
    <rPh sb="56" eb="58">
      <t>シュウセイ</t>
    </rPh>
    <rPh sb="66" eb="67">
      <t>ネン</t>
    </rPh>
    <rPh sb="67" eb="69">
      <t>ハッピョウ</t>
    </rPh>
    <rPh sb="69" eb="70">
      <t>ジ</t>
    </rPh>
    <rPh sb="71" eb="73">
      <t>キョウト</t>
    </rPh>
    <rPh sb="83" eb="84">
      <t>ヌ</t>
    </rPh>
    <phoneticPr fontId="17"/>
  </si>
  <si>
    <r>
      <rPr>
        <sz val="10"/>
        <rFont val="ＭＳ ゴシック"/>
        <family val="3"/>
        <charset val="128"/>
      </rPr>
      <t>　　</t>
    </r>
    <r>
      <rPr>
        <sz val="10"/>
        <rFont val="Arial"/>
        <family val="2"/>
      </rPr>
      <t>2013</t>
    </r>
    <r>
      <rPr>
        <sz val="10"/>
        <rFont val="ＭＳ ゴシック"/>
        <family val="3"/>
        <charset val="128"/>
      </rPr>
      <t>年</t>
    </r>
    <r>
      <rPr>
        <sz val="10"/>
        <rFont val="Arial"/>
        <family val="2"/>
      </rPr>
      <t>3</t>
    </r>
    <r>
      <rPr>
        <sz val="10"/>
        <rFont val="ＭＳ ゴシック"/>
        <family val="3"/>
        <charset val="128"/>
      </rPr>
      <t>月期までに発表したデータブックでは、発表当初の数字を用いていたが、過去データの修正ルールを、</t>
    </r>
    <r>
      <rPr>
        <sz val="10"/>
        <rFont val="Arial"/>
        <family val="2"/>
      </rPr>
      <t>2014</t>
    </r>
    <r>
      <rPr>
        <sz val="10"/>
        <rFont val="ＭＳ ゴシック"/>
        <family val="3"/>
        <charset val="128"/>
      </rPr>
      <t>年</t>
    </r>
    <r>
      <rPr>
        <sz val="10"/>
        <rFont val="Arial"/>
        <family val="2"/>
      </rPr>
      <t>3</t>
    </r>
    <r>
      <rPr>
        <sz val="10"/>
        <rFont val="ＭＳ ゴシック"/>
        <family val="3"/>
        <charset val="128"/>
      </rPr>
      <t>月</t>
    </r>
    <r>
      <rPr>
        <sz val="10"/>
        <rFont val="Arial"/>
        <family val="2"/>
      </rPr>
      <t>1</t>
    </r>
    <r>
      <rPr>
        <sz val="10"/>
        <rFont val="ＭＳ ゴシック"/>
        <family val="3"/>
        <charset val="128"/>
      </rPr>
      <t>日に決定した。</t>
    </r>
    <rPh sb="6" eb="7">
      <t>ネン</t>
    </rPh>
    <rPh sb="8" eb="9">
      <t>ガツ</t>
    </rPh>
    <rPh sb="9" eb="10">
      <t>キ</t>
    </rPh>
    <rPh sb="13" eb="15">
      <t>ハッピョウ</t>
    </rPh>
    <rPh sb="26" eb="28">
      <t>ハッピョウ</t>
    </rPh>
    <rPh sb="28" eb="30">
      <t>トウショ</t>
    </rPh>
    <rPh sb="31" eb="33">
      <t>スウジ</t>
    </rPh>
    <rPh sb="34" eb="35">
      <t>モチ</t>
    </rPh>
    <rPh sb="41" eb="43">
      <t>カコ</t>
    </rPh>
    <rPh sb="47" eb="49">
      <t>シュウセイ</t>
    </rPh>
    <rPh sb="58" eb="59">
      <t>ネン</t>
    </rPh>
    <rPh sb="60" eb="61">
      <t>ガツ</t>
    </rPh>
    <rPh sb="62" eb="63">
      <t>ニチ</t>
    </rPh>
    <rPh sb="64" eb="66">
      <t>ケッテイ</t>
    </rPh>
    <phoneticPr fontId="17"/>
  </si>
  <si>
    <r>
      <rPr>
        <sz val="10"/>
        <rFont val="ＭＳ ゴシック"/>
        <family val="3"/>
        <charset val="128"/>
      </rPr>
      <t>　　少なくともﾕｰｽﾄｶｰについては、前年の数字が変更されていれば、当年で過去データを修正するものとする。</t>
    </r>
    <rPh sb="2" eb="3">
      <t>スク</t>
    </rPh>
    <rPh sb="19" eb="21">
      <t>ゼンネン</t>
    </rPh>
    <rPh sb="22" eb="24">
      <t>スウジ</t>
    </rPh>
    <rPh sb="25" eb="27">
      <t>ヘンコウ</t>
    </rPh>
    <rPh sb="34" eb="36">
      <t>トウネン</t>
    </rPh>
    <rPh sb="37" eb="39">
      <t>カコ</t>
    </rPh>
    <rPh sb="43" eb="45">
      <t>シュウセイ</t>
    </rPh>
    <phoneticPr fontId="17"/>
  </si>
  <si>
    <r>
      <rPr>
        <sz val="10"/>
        <rFont val="ＭＳ ゴシック"/>
        <family val="3"/>
        <charset val="128"/>
      </rPr>
      <t>　　よって、</t>
    </r>
    <r>
      <rPr>
        <sz val="10"/>
        <rFont val="Arial"/>
        <family val="2"/>
      </rPr>
      <t>2005</t>
    </r>
    <r>
      <rPr>
        <sz val="10"/>
        <rFont val="ＭＳ ゴシック"/>
        <family val="3"/>
        <charset val="128"/>
      </rPr>
      <t>年の京都オートオークションについては、このタイミングとなるものの、過去データを修正する。</t>
    </r>
    <r>
      <rPr>
        <sz val="10"/>
        <rFont val="Arial"/>
        <family val="2"/>
      </rPr>
      <t xml:space="preserve">(2014/3/1 </t>
    </r>
    <r>
      <rPr>
        <sz val="10"/>
        <rFont val="ＭＳ ゴシック"/>
        <family val="3"/>
        <charset val="128"/>
      </rPr>
      <t>服部</t>
    </r>
    <r>
      <rPr>
        <sz val="10"/>
        <rFont val="Arial"/>
        <family val="2"/>
      </rPr>
      <t>CM</t>
    </r>
    <r>
      <rPr>
        <sz val="10"/>
        <rFont val="ＭＳ ゴシック"/>
        <family val="3"/>
        <charset val="128"/>
      </rPr>
      <t>確認済</t>
    </r>
    <r>
      <rPr>
        <sz val="10"/>
        <rFont val="Arial"/>
        <family val="2"/>
      </rPr>
      <t>)</t>
    </r>
    <rPh sb="10" eb="11">
      <t>ネン</t>
    </rPh>
    <rPh sb="12" eb="14">
      <t>キョウト</t>
    </rPh>
    <rPh sb="43" eb="45">
      <t>カコ</t>
    </rPh>
    <rPh sb="49" eb="51">
      <t>シュウセイ</t>
    </rPh>
    <rPh sb="64" eb="66">
      <t>ハットリ</t>
    </rPh>
    <rPh sb="68" eb="70">
      <t>カクニン</t>
    </rPh>
    <rPh sb="70" eb="71">
      <t>ズ</t>
    </rPh>
    <phoneticPr fontId="17"/>
  </si>
  <si>
    <r>
      <rPr>
        <sz val="10"/>
        <rFont val="ＭＳ ゴシック"/>
        <family val="3"/>
        <charset val="128"/>
      </rPr>
      <t>　■</t>
    </r>
    <r>
      <rPr>
        <sz val="10"/>
        <rFont val="Arial"/>
        <family val="2"/>
      </rPr>
      <t>2015</t>
    </r>
    <r>
      <rPr>
        <sz val="10"/>
        <rFont val="ＭＳ ゴシック"/>
        <family val="3"/>
        <charset val="128"/>
      </rPr>
      <t>年の暦年出品台数が</t>
    </r>
    <r>
      <rPr>
        <sz val="10"/>
        <rFont val="Arial"/>
        <family val="2"/>
      </rPr>
      <t>2016</t>
    </r>
    <r>
      <rPr>
        <sz val="10"/>
        <rFont val="ＭＳ ゴシック"/>
        <family val="3"/>
        <charset val="128"/>
      </rPr>
      <t>年</t>
    </r>
    <r>
      <rPr>
        <sz val="10"/>
        <rFont val="Arial"/>
        <family val="2"/>
      </rPr>
      <t>1</t>
    </r>
    <r>
      <rPr>
        <sz val="10"/>
        <rFont val="ＭＳ ゴシック"/>
        <family val="3"/>
        <charset val="128"/>
      </rPr>
      <t>月発表時は</t>
    </r>
    <r>
      <rPr>
        <sz val="10"/>
        <rFont val="Arial"/>
        <family val="2"/>
      </rPr>
      <t>7,186,707</t>
    </r>
    <r>
      <rPr>
        <sz val="10"/>
        <rFont val="ＭＳ ゴシック"/>
        <family val="3"/>
        <charset val="128"/>
      </rPr>
      <t>台、</t>
    </r>
    <r>
      <rPr>
        <sz val="10"/>
        <rFont val="Arial"/>
        <family val="2"/>
      </rPr>
      <t>2017</t>
    </r>
    <r>
      <rPr>
        <sz val="10"/>
        <rFont val="ＭＳ ゴシック"/>
        <family val="3"/>
        <charset val="128"/>
      </rPr>
      <t>年</t>
    </r>
    <r>
      <rPr>
        <sz val="10"/>
        <rFont val="Arial"/>
        <family val="2"/>
      </rPr>
      <t>1</t>
    </r>
    <r>
      <rPr>
        <sz val="10"/>
        <rFont val="ＭＳ ゴシック"/>
        <family val="3"/>
        <charset val="128"/>
      </rPr>
      <t>月発表時は</t>
    </r>
    <r>
      <rPr>
        <sz val="10"/>
        <rFont val="Arial"/>
        <family val="2"/>
      </rPr>
      <t>7,185,240</t>
    </r>
    <r>
      <rPr>
        <sz val="10"/>
        <rFont val="ＭＳ ゴシック"/>
        <family val="3"/>
        <charset val="128"/>
      </rPr>
      <t>台であった。</t>
    </r>
    <rPh sb="6" eb="7">
      <t>ネン</t>
    </rPh>
    <rPh sb="8" eb="10">
      <t>レキネン</t>
    </rPh>
    <rPh sb="10" eb="12">
      <t>シュッピン</t>
    </rPh>
    <rPh sb="12" eb="14">
      <t>ダイスウ</t>
    </rPh>
    <rPh sb="19" eb="20">
      <t>ネン</t>
    </rPh>
    <rPh sb="21" eb="22">
      <t>ガツ</t>
    </rPh>
    <rPh sb="22" eb="24">
      <t>ハッピョウ</t>
    </rPh>
    <rPh sb="24" eb="25">
      <t>ジ</t>
    </rPh>
    <rPh sb="35" eb="36">
      <t>ダイ</t>
    </rPh>
    <rPh sb="41" eb="42">
      <t>ネン</t>
    </rPh>
    <rPh sb="43" eb="44">
      <t>ガツ</t>
    </rPh>
    <rPh sb="44" eb="46">
      <t>ハッピョウ</t>
    </rPh>
    <rPh sb="46" eb="47">
      <t>ジ</t>
    </rPh>
    <rPh sb="49" eb="58">
      <t>１８５２４０ダイ</t>
    </rPh>
    <phoneticPr fontId="17"/>
  </si>
  <si>
    <r>
      <rPr>
        <sz val="10"/>
        <rFont val="ＭＳ ゴシック"/>
        <family val="3"/>
        <charset val="128"/>
      </rPr>
      <t>　　内訳</t>
    </r>
    <r>
      <rPr>
        <sz val="10"/>
        <rFont val="Arial"/>
        <family val="2"/>
      </rPr>
      <t>:</t>
    </r>
    <r>
      <rPr>
        <sz val="10"/>
        <rFont val="ＭＳ ゴシック"/>
        <family val="3"/>
        <charset val="128"/>
      </rPr>
      <t>オークネット</t>
    </r>
    <r>
      <rPr>
        <sz val="10"/>
        <rFont val="Arial"/>
        <family val="2"/>
      </rPr>
      <t>(</t>
    </r>
    <r>
      <rPr>
        <sz val="10"/>
        <rFont val="ＭＳ ゴシック"/>
        <family val="3"/>
        <charset val="128"/>
      </rPr>
      <t>企業系</t>
    </r>
    <r>
      <rPr>
        <sz val="10"/>
        <rFont val="Arial"/>
        <family val="2"/>
      </rPr>
      <t>)</t>
    </r>
    <r>
      <rPr>
        <sz val="10"/>
        <rFont val="ＭＳ ゴシック"/>
        <family val="3"/>
        <charset val="128"/>
      </rPr>
      <t>･･･</t>
    </r>
    <r>
      <rPr>
        <sz val="10"/>
        <rFont val="Arial"/>
        <family val="2"/>
      </rPr>
      <t>(2016</t>
    </r>
    <r>
      <rPr>
        <sz val="10"/>
        <rFont val="ＭＳ ゴシック"/>
        <family val="3"/>
        <charset val="128"/>
      </rPr>
      <t>年発表</t>
    </r>
    <r>
      <rPr>
        <sz val="10"/>
        <rFont val="Arial"/>
        <family val="2"/>
      </rPr>
      <t>)70,177</t>
    </r>
    <r>
      <rPr>
        <sz val="10"/>
        <rFont val="ＭＳ ゴシック"/>
        <family val="3"/>
        <charset val="128"/>
      </rPr>
      <t>台、</t>
    </r>
    <r>
      <rPr>
        <sz val="10"/>
        <rFont val="Arial"/>
        <family val="2"/>
      </rPr>
      <t>(2017</t>
    </r>
    <r>
      <rPr>
        <sz val="10"/>
        <rFont val="ＭＳ ゴシック"/>
        <family val="3"/>
        <charset val="128"/>
      </rPr>
      <t>年発表</t>
    </r>
    <r>
      <rPr>
        <sz val="10"/>
        <rFont val="Arial"/>
        <family val="2"/>
      </rPr>
      <t>)70,179</t>
    </r>
    <r>
      <rPr>
        <sz val="10"/>
        <rFont val="ＭＳ ゴシック"/>
        <family val="3"/>
        <charset val="128"/>
      </rPr>
      <t>台、　スバル関東</t>
    </r>
    <r>
      <rPr>
        <sz val="10"/>
        <rFont val="Arial"/>
        <family val="2"/>
      </rPr>
      <t>(</t>
    </r>
    <r>
      <rPr>
        <sz val="10"/>
        <rFont val="ＭＳ ゴシック"/>
        <family val="3"/>
        <charset val="128"/>
      </rPr>
      <t>ﾒｰｶｰ系</t>
    </r>
    <r>
      <rPr>
        <sz val="10"/>
        <rFont val="Arial"/>
        <family val="2"/>
      </rPr>
      <t>)</t>
    </r>
    <r>
      <rPr>
        <sz val="10"/>
        <rFont val="ＭＳ ゴシック"/>
        <family val="3"/>
        <charset val="128"/>
      </rPr>
      <t>･･･</t>
    </r>
    <r>
      <rPr>
        <sz val="10"/>
        <rFont val="Arial"/>
        <family val="2"/>
      </rPr>
      <t>(2016</t>
    </r>
    <r>
      <rPr>
        <sz val="10"/>
        <rFont val="ＭＳ ゴシック"/>
        <family val="3"/>
        <charset val="128"/>
      </rPr>
      <t>年発表</t>
    </r>
    <r>
      <rPr>
        <sz val="10"/>
        <rFont val="Arial"/>
        <family val="2"/>
      </rPr>
      <t>)1,469</t>
    </r>
    <r>
      <rPr>
        <sz val="10"/>
        <rFont val="ＭＳ ゴシック"/>
        <family val="3"/>
        <charset val="128"/>
      </rPr>
      <t>台、</t>
    </r>
    <r>
      <rPr>
        <sz val="10"/>
        <rFont val="Arial"/>
        <family val="2"/>
      </rPr>
      <t>(2017</t>
    </r>
    <r>
      <rPr>
        <sz val="10"/>
        <rFont val="ＭＳ ゴシック"/>
        <family val="3"/>
        <charset val="128"/>
      </rPr>
      <t>年発表</t>
    </r>
    <r>
      <rPr>
        <sz val="10"/>
        <rFont val="Arial"/>
        <family val="2"/>
      </rPr>
      <t>)</t>
    </r>
    <r>
      <rPr>
        <sz val="10"/>
        <rFont val="ＭＳ ゴシック"/>
        <family val="3"/>
        <charset val="128"/>
      </rPr>
      <t>ﾃﾞｰﾀ欠落のため</t>
    </r>
    <r>
      <rPr>
        <sz val="10"/>
        <rFont val="Arial"/>
        <family val="2"/>
      </rPr>
      <t>0</t>
    </r>
    <r>
      <rPr>
        <sz val="10"/>
        <rFont val="ＭＳ ゴシック"/>
        <family val="3"/>
        <charset val="128"/>
      </rPr>
      <t>台</t>
    </r>
    <rPh sb="2" eb="3">
      <t>ウチ</t>
    </rPh>
    <rPh sb="3" eb="4">
      <t>ワケ</t>
    </rPh>
    <rPh sb="12" eb="15">
      <t>キギョウケイ</t>
    </rPh>
    <rPh sb="24" eb="25">
      <t>ネン</t>
    </rPh>
    <rPh sb="25" eb="27">
      <t>ハッピョウ</t>
    </rPh>
    <rPh sb="30" eb="35">
      <t>１７７ダイ</t>
    </rPh>
    <rPh sb="41" eb="42">
      <t>ネン</t>
    </rPh>
    <rPh sb="42" eb="44">
      <t>ハッピョウ</t>
    </rPh>
    <rPh sb="47" eb="52">
      <t>１７９ダイ</t>
    </rPh>
    <rPh sb="57" eb="59">
      <t>カントウ</t>
    </rPh>
    <rPh sb="64" eb="65">
      <t>ケイ</t>
    </rPh>
    <rPh sb="74" eb="75">
      <t>ネン</t>
    </rPh>
    <rPh sb="75" eb="77">
      <t>ハッピョウ</t>
    </rPh>
    <rPh sb="79" eb="84">
      <t>４６９ダイ</t>
    </rPh>
    <rPh sb="90" eb="91">
      <t>ネン</t>
    </rPh>
    <rPh sb="91" eb="93">
      <t>ハッピョウ</t>
    </rPh>
    <rPh sb="98" eb="100">
      <t>ケツラク</t>
    </rPh>
    <rPh sb="104" eb="105">
      <t>ダイ</t>
    </rPh>
    <phoneticPr fontId="17"/>
  </si>
  <si>
    <r>
      <rPr>
        <sz val="10"/>
        <rFont val="ＭＳ ゴシック"/>
        <family val="3"/>
        <charset val="128"/>
      </rPr>
      <t>　　ユーストカーに指摘した結果</t>
    </r>
    <r>
      <rPr>
        <sz val="10"/>
        <rFont val="Arial"/>
        <family val="2"/>
      </rPr>
      <t>2016</t>
    </r>
    <r>
      <rPr>
        <sz val="10"/>
        <rFont val="ＭＳ ゴシック"/>
        <family val="3"/>
        <charset val="128"/>
      </rPr>
      <t>年</t>
    </r>
    <r>
      <rPr>
        <sz val="10"/>
        <rFont val="Arial"/>
        <family val="2"/>
      </rPr>
      <t>1</t>
    </r>
    <r>
      <rPr>
        <sz val="10"/>
        <rFont val="ＭＳ ゴシック"/>
        <family val="3"/>
        <charset val="128"/>
      </rPr>
      <t>月に発表した実績が正しいとして修正されたデータを回収しているため、</t>
    </r>
    <r>
      <rPr>
        <sz val="10"/>
        <rFont val="Arial"/>
        <family val="2"/>
      </rPr>
      <t>2015</t>
    </r>
    <r>
      <rPr>
        <sz val="10"/>
        <rFont val="ＭＳ ゴシック"/>
        <family val="3"/>
        <charset val="128"/>
      </rPr>
      <t>年実績はユーストカー本誌ではなく</t>
    </r>
    <rPh sb="13" eb="15">
      <t>ケッカ</t>
    </rPh>
    <rPh sb="19" eb="20">
      <t>ネン</t>
    </rPh>
    <rPh sb="21" eb="22">
      <t>ガツ</t>
    </rPh>
    <rPh sb="23" eb="25">
      <t>ハッピョウ</t>
    </rPh>
    <rPh sb="27" eb="29">
      <t>ジッセキ</t>
    </rPh>
    <rPh sb="30" eb="31">
      <t>タダ</t>
    </rPh>
    <rPh sb="36" eb="38">
      <t>シュウセイ</t>
    </rPh>
    <rPh sb="45" eb="47">
      <t>カイシュウ</t>
    </rPh>
    <rPh sb="58" eb="59">
      <t>ネン</t>
    </rPh>
    <rPh sb="59" eb="61">
      <t>ジッセキ</t>
    </rPh>
    <rPh sb="68" eb="70">
      <t>ホンシ</t>
    </rPh>
    <phoneticPr fontId="17"/>
  </si>
  <si>
    <r>
      <rPr>
        <sz val="10"/>
        <rFont val="ＭＳ ゴシック"/>
        <family val="3"/>
        <charset val="128"/>
      </rPr>
      <t>　　「</t>
    </r>
    <r>
      <rPr>
        <sz val="10"/>
        <rFont val="Arial"/>
        <family val="2"/>
      </rPr>
      <t>F4300US_1612</t>
    </r>
    <r>
      <rPr>
        <sz val="10"/>
        <rFont val="ＭＳ ゴシック"/>
        <family val="3"/>
        <charset val="128"/>
      </rPr>
      <t>ユーストカー暦年実績</t>
    </r>
    <r>
      <rPr>
        <sz val="10"/>
        <rFont val="Arial"/>
        <family val="2"/>
      </rPr>
      <t>.xls</t>
    </r>
    <r>
      <rPr>
        <sz val="10"/>
        <rFont val="ＭＳ ゴシック"/>
        <family val="3"/>
        <charset val="128"/>
      </rPr>
      <t>」を参照する。</t>
    </r>
    <phoneticPr fontId="17"/>
  </si>
  <si>
    <r>
      <rPr>
        <sz val="10"/>
        <rFont val="ＭＳ ゴシック"/>
        <family val="3"/>
        <charset val="128"/>
      </rPr>
      <t>＜懸念事項＞</t>
    </r>
    <rPh sb="1" eb="3">
      <t>ケネン</t>
    </rPh>
    <rPh sb="3" eb="5">
      <t>ジコウ</t>
    </rPh>
    <phoneticPr fontId="17"/>
  </si>
  <si>
    <r>
      <rPr>
        <sz val="10"/>
        <rFont val="ＭＳ ゴシック"/>
        <family val="3"/>
        <charset val="128"/>
      </rPr>
      <t>　■</t>
    </r>
    <r>
      <rPr>
        <sz val="10"/>
        <rFont val="Arial"/>
        <family val="2"/>
      </rPr>
      <t>JAA</t>
    </r>
    <r>
      <rPr>
        <sz val="10"/>
        <rFont val="ＭＳ ゴシック"/>
        <family val="3"/>
        <charset val="128"/>
      </rPr>
      <t>が子会社化した場合、どう表現するか？</t>
    </r>
    <rPh sb="6" eb="9">
      <t>コガイシャ</t>
    </rPh>
    <rPh sb="9" eb="10">
      <t>カ</t>
    </rPh>
    <rPh sb="12" eb="14">
      <t>バアイ</t>
    </rPh>
    <rPh sb="17" eb="19">
      <t>ヒョウゲン</t>
    </rPh>
    <phoneticPr fontId="17"/>
  </si>
  <si>
    <r>
      <rPr>
        <sz val="10"/>
        <rFont val="ＭＳ ゴシック"/>
        <family val="3"/>
        <charset val="128"/>
      </rPr>
      <t>　　例えば</t>
    </r>
    <r>
      <rPr>
        <sz val="10"/>
        <rFont val="Arial"/>
        <family val="2"/>
      </rPr>
      <t>2017</t>
    </r>
    <r>
      <rPr>
        <sz val="10"/>
        <rFont val="ＭＳ ゴシック"/>
        <family val="3"/>
        <charset val="128"/>
      </rPr>
      <t>年</t>
    </r>
    <r>
      <rPr>
        <sz val="10"/>
        <rFont val="Arial"/>
        <family val="2"/>
      </rPr>
      <t>6</t>
    </r>
    <r>
      <rPr>
        <sz val="10"/>
        <rFont val="ＭＳ ゴシック"/>
        <family val="3"/>
        <charset val="128"/>
      </rPr>
      <t>月</t>
    </r>
    <r>
      <rPr>
        <sz val="10"/>
        <rFont val="Arial"/>
        <family val="2"/>
      </rPr>
      <t>30</t>
    </r>
    <r>
      <rPr>
        <sz val="10"/>
        <rFont val="ＭＳ ゴシック"/>
        <family val="3"/>
        <charset val="128"/>
      </rPr>
      <t>日に子会社化した場合、</t>
    </r>
    <r>
      <rPr>
        <sz val="10"/>
        <rFont val="Arial"/>
        <family val="2"/>
      </rPr>
      <t>JAA</t>
    </r>
    <r>
      <rPr>
        <sz val="10"/>
        <rFont val="ＭＳ ゴシック"/>
        <family val="3"/>
        <charset val="128"/>
      </rPr>
      <t>グループは</t>
    </r>
    <r>
      <rPr>
        <sz val="10"/>
        <rFont val="Arial"/>
        <family val="2"/>
      </rPr>
      <t>2017</t>
    </r>
    <r>
      <rPr>
        <sz val="10"/>
        <rFont val="ＭＳ ゴシック"/>
        <family val="3"/>
        <charset val="128"/>
      </rPr>
      <t>年</t>
    </r>
    <r>
      <rPr>
        <sz val="10"/>
        <rFont val="Arial"/>
        <family val="2"/>
      </rPr>
      <t>1</t>
    </r>
    <r>
      <rPr>
        <sz val="10"/>
        <rFont val="ＭＳ ゴシック"/>
        <family val="3"/>
        <charset val="128"/>
      </rPr>
      <t>月～</t>
    </r>
    <r>
      <rPr>
        <sz val="10"/>
        <rFont val="Arial"/>
        <family val="2"/>
      </rPr>
      <t>6</t>
    </r>
    <r>
      <rPr>
        <sz val="10"/>
        <rFont val="ＭＳ ゴシック"/>
        <family val="3"/>
        <charset val="128"/>
      </rPr>
      <t>月、</t>
    </r>
    <r>
      <rPr>
        <sz val="10"/>
        <rFont val="Arial"/>
        <family val="2"/>
      </rPr>
      <t>USS</t>
    </r>
    <r>
      <rPr>
        <sz val="10"/>
        <rFont val="ＭＳ ゴシック"/>
        <family val="3"/>
        <charset val="128"/>
      </rPr>
      <t>グループには</t>
    </r>
    <r>
      <rPr>
        <sz val="10"/>
        <rFont val="Arial"/>
        <family val="2"/>
      </rPr>
      <t>2017</t>
    </r>
    <r>
      <rPr>
        <sz val="10"/>
        <rFont val="ＭＳ ゴシック"/>
        <family val="3"/>
        <charset val="128"/>
      </rPr>
      <t>年</t>
    </r>
    <r>
      <rPr>
        <sz val="10"/>
        <rFont val="Arial"/>
        <family val="2"/>
      </rPr>
      <t>7</t>
    </r>
    <r>
      <rPr>
        <sz val="10"/>
        <rFont val="ＭＳ ゴシック"/>
        <family val="3"/>
        <charset val="128"/>
      </rPr>
      <t>月～</t>
    </r>
    <r>
      <rPr>
        <sz val="10"/>
        <rFont val="Arial"/>
        <family val="2"/>
      </rPr>
      <t>2017</t>
    </r>
    <r>
      <rPr>
        <sz val="10"/>
        <rFont val="ＭＳ ゴシック"/>
        <family val="3"/>
        <charset val="128"/>
      </rPr>
      <t>年</t>
    </r>
    <r>
      <rPr>
        <sz val="10"/>
        <rFont val="Arial"/>
        <family val="2"/>
      </rPr>
      <t>12</t>
    </r>
    <r>
      <rPr>
        <sz val="10"/>
        <rFont val="ＭＳ ゴシック"/>
        <family val="3"/>
        <charset val="128"/>
      </rPr>
      <t>月としてもらうようにユーストカーにも相談が必要かもしれない。</t>
    </r>
    <rPh sb="2" eb="3">
      <t>タト</t>
    </rPh>
    <rPh sb="9" eb="10">
      <t>ネン</t>
    </rPh>
    <rPh sb="11" eb="12">
      <t>ガツ</t>
    </rPh>
    <rPh sb="14" eb="15">
      <t>ニチ</t>
    </rPh>
    <rPh sb="16" eb="20">
      <t>コガイシャカ</t>
    </rPh>
    <rPh sb="22" eb="24">
      <t>バアイ</t>
    </rPh>
    <rPh sb="37" eb="38">
      <t>ネン</t>
    </rPh>
    <rPh sb="39" eb="40">
      <t>ガツ</t>
    </rPh>
    <rPh sb="42" eb="43">
      <t>ガツ</t>
    </rPh>
    <rPh sb="57" eb="58">
      <t>ネン</t>
    </rPh>
    <rPh sb="59" eb="60">
      <t>ガツ</t>
    </rPh>
    <rPh sb="65" eb="66">
      <t>ネン</t>
    </rPh>
    <rPh sb="68" eb="69">
      <t>ガツ</t>
    </rPh>
    <rPh sb="86" eb="88">
      <t>ソウダン</t>
    </rPh>
    <rPh sb="89" eb="91">
      <t>ヒツヨウ</t>
    </rPh>
    <phoneticPr fontId="17"/>
  </si>
  <si>
    <r>
      <rPr>
        <sz val="10"/>
        <rFont val="ＭＳ ゴシック"/>
        <family val="3"/>
        <charset val="128"/>
      </rPr>
      <t>　　この場合、これまでデータブックでは、最新年の上位</t>
    </r>
    <r>
      <rPr>
        <sz val="10"/>
        <rFont val="Arial"/>
        <family val="2"/>
      </rPr>
      <t>6</t>
    </r>
    <r>
      <rPr>
        <sz val="10"/>
        <rFont val="ＭＳ ゴシック"/>
        <family val="3"/>
        <charset val="128"/>
      </rPr>
      <t>社に洗い替えていたが、</t>
    </r>
    <r>
      <rPr>
        <sz val="10"/>
        <rFont val="Arial"/>
        <family val="2"/>
      </rPr>
      <t>JAA</t>
    </r>
    <r>
      <rPr>
        <sz val="10"/>
        <rFont val="ＭＳ ゴシック"/>
        <family val="3"/>
        <charset val="128"/>
      </rPr>
      <t>グループについての対応は要検討。</t>
    </r>
    <r>
      <rPr>
        <sz val="10"/>
        <rFont val="Arial"/>
        <family val="2"/>
      </rPr>
      <t>2016</t>
    </r>
    <r>
      <rPr>
        <sz val="10"/>
        <rFont val="ＭＳ ゴシック"/>
        <family val="3"/>
        <charset val="128"/>
      </rPr>
      <t>年までの</t>
    </r>
    <r>
      <rPr>
        <sz val="10"/>
        <rFont val="Arial"/>
        <family val="2"/>
      </rPr>
      <t>JAA</t>
    </r>
    <r>
      <rPr>
        <sz val="10"/>
        <rFont val="ＭＳ ゴシック"/>
        <family val="3"/>
        <charset val="128"/>
      </rPr>
      <t>グループがなくなるまで表示し続けるか？</t>
    </r>
    <rPh sb="4" eb="6">
      <t>バアイ</t>
    </rPh>
    <rPh sb="20" eb="22">
      <t>サイシン</t>
    </rPh>
    <rPh sb="22" eb="23">
      <t>ネン</t>
    </rPh>
    <rPh sb="24" eb="26">
      <t>ジョウイ</t>
    </rPh>
    <rPh sb="27" eb="28">
      <t>シャ</t>
    </rPh>
    <rPh sb="29" eb="30">
      <t>アラ</t>
    </rPh>
    <rPh sb="31" eb="32">
      <t>カ</t>
    </rPh>
    <rPh sb="50" eb="52">
      <t>タイオウ</t>
    </rPh>
    <rPh sb="53" eb="56">
      <t>ヨウケントウ</t>
    </rPh>
    <rPh sb="61" eb="62">
      <t>ネン</t>
    </rPh>
    <rPh sb="79" eb="81">
      <t>ヒョウジ</t>
    </rPh>
    <rPh sb="82" eb="83">
      <t>ツヅ</t>
    </rPh>
    <phoneticPr fontId="17"/>
  </si>
  <si>
    <r>
      <rPr>
        <sz val="10"/>
        <rFont val="ＭＳ ゴシック"/>
        <family val="3"/>
        <charset val="128"/>
      </rPr>
      <t>●現時点の作成状況</t>
    </r>
    <rPh sb="1" eb="4">
      <t>ゲンジテン</t>
    </rPh>
    <rPh sb="5" eb="7">
      <t>サクセイ</t>
    </rPh>
    <rPh sb="7" eb="9">
      <t>ジョウキョウ</t>
    </rPh>
    <phoneticPr fontId="17"/>
  </si>
  <si>
    <r>
      <rPr>
        <sz val="10"/>
        <rFont val="ＭＳ ゴシック"/>
        <family val="3"/>
        <charset val="128"/>
      </rPr>
      <t>・</t>
    </r>
    <r>
      <rPr>
        <sz val="10"/>
        <rFont val="Arial"/>
        <family val="2"/>
      </rPr>
      <t>JAA</t>
    </r>
    <r>
      <rPr>
        <sz val="10"/>
        <rFont val="ＭＳ ゴシック"/>
        <family val="3"/>
        <charset val="128"/>
      </rPr>
      <t>の出品台数のうち、</t>
    </r>
    <r>
      <rPr>
        <sz val="10"/>
        <rFont val="Arial"/>
        <family val="2"/>
      </rPr>
      <t>10</t>
    </r>
    <r>
      <rPr>
        <sz val="10"/>
        <rFont val="ＭＳ ゴシック"/>
        <family val="3"/>
        <charset val="128"/>
      </rPr>
      <t>月から</t>
    </r>
    <r>
      <rPr>
        <sz val="10"/>
        <rFont val="Arial"/>
        <family val="2"/>
      </rPr>
      <t>12</t>
    </r>
    <r>
      <rPr>
        <sz val="10"/>
        <rFont val="ＭＳ ゴシック"/>
        <family val="3"/>
        <charset val="128"/>
      </rPr>
      <t>月の実績を</t>
    </r>
    <r>
      <rPr>
        <sz val="10"/>
        <rFont val="Arial"/>
        <family val="2"/>
      </rPr>
      <t>USS</t>
    </r>
    <r>
      <rPr>
        <sz val="10"/>
        <rFont val="ＭＳ ゴシック"/>
        <family val="3"/>
        <charset val="128"/>
      </rPr>
      <t>に合算した。</t>
    </r>
    <r>
      <rPr>
        <sz val="10"/>
        <rFont val="Arial"/>
        <family val="2"/>
      </rPr>
      <t>JAA</t>
    </r>
    <r>
      <rPr>
        <sz val="10"/>
        <rFont val="ＭＳ ゴシック"/>
        <family val="3"/>
        <charset val="128"/>
      </rPr>
      <t>の</t>
    </r>
    <r>
      <rPr>
        <sz val="10"/>
        <rFont val="Arial"/>
        <family val="2"/>
      </rPr>
      <t>2018</t>
    </r>
    <r>
      <rPr>
        <sz val="10"/>
        <rFont val="ＭＳ ゴシック"/>
        <family val="3"/>
        <charset val="128"/>
      </rPr>
      <t>年以降の出品台数は</t>
    </r>
    <r>
      <rPr>
        <sz val="10"/>
        <rFont val="Arial"/>
        <family val="2"/>
      </rPr>
      <t>0</t>
    </r>
    <r>
      <rPr>
        <sz val="10"/>
        <rFont val="ＭＳ ゴシック"/>
        <family val="3"/>
        <charset val="128"/>
      </rPr>
      <t>台になるが、掲載を継続するか要確認</t>
    </r>
    <rPh sb="5" eb="7">
      <t>シュッピン</t>
    </rPh>
    <rPh sb="7" eb="9">
      <t>ダイスウ</t>
    </rPh>
    <rPh sb="15" eb="16">
      <t>ガツ</t>
    </rPh>
    <rPh sb="20" eb="21">
      <t>ガツ</t>
    </rPh>
    <rPh sb="22" eb="24">
      <t>ジッセキ</t>
    </rPh>
    <rPh sb="29" eb="31">
      <t>ガッサン</t>
    </rPh>
    <rPh sb="42" eb="43">
      <t>ネン</t>
    </rPh>
    <rPh sb="43" eb="45">
      <t>イコウ</t>
    </rPh>
    <rPh sb="46" eb="48">
      <t>シュッピン</t>
    </rPh>
    <rPh sb="48" eb="50">
      <t>ダイスウ</t>
    </rPh>
    <rPh sb="52" eb="53">
      <t>ダイ</t>
    </rPh>
    <rPh sb="58" eb="60">
      <t>ケイサイ</t>
    </rPh>
    <rPh sb="61" eb="63">
      <t>ケイゾク</t>
    </rPh>
    <rPh sb="66" eb="67">
      <t>ヨウ</t>
    </rPh>
    <rPh sb="67" eb="69">
      <t>カクニン</t>
    </rPh>
    <phoneticPr fontId="17"/>
  </si>
  <si>
    <r>
      <t>2019</t>
    </r>
    <r>
      <rPr>
        <sz val="10"/>
        <rFont val="ＭＳ ゴシック"/>
        <family val="3"/>
        <charset val="128"/>
      </rPr>
      <t>年</t>
    </r>
    <r>
      <rPr>
        <sz val="10"/>
        <rFont val="Arial"/>
        <family val="2"/>
      </rPr>
      <t>2</t>
    </r>
    <r>
      <rPr>
        <sz val="10"/>
        <rFont val="ＭＳ ゴシック"/>
        <family val="3"/>
        <charset val="128"/>
      </rPr>
      <t>月加筆：</t>
    </r>
    <r>
      <rPr>
        <sz val="10"/>
        <rFont val="Arial"/>
        <family val="2"/>
      </rPr>
      <t>JAA</t>
    </r>
    <r>
      <rPr>
        <sz val="10"/>
        <rFont val="ＭＳ ゴシック"/>
        <family val="3"/>
        <charset val="128"/>
      </rPr>
      <t>の子会社化前の実績は</t>
    </r>
    <r>
      <rPr>
        <sz val="10"/>
        <rFont val="Arial"/>
        <family val="2"/>
      </rPr>
      <t>USS</t>
    </r>
    <r>
      <rPr>
        <sz val="10"/>
        <rFont val="ＭＳ ゴシック"/>
        <family val="3"/>
        <charset val="128"/>
      </rPr>
      <t>の</t>
    </r>
    <r>
      <rPr>
        <sz val="10"/>
        <rFont val="Arial"/>
        <family val="2"/>
      </rPr>
      <t>1</t>
    </r>
    <r>
      <rPr>
        <sz val="10"/>
        <rFont val="ＭＳ ゴシック"/>
        <family val="3"/>
        <charset val="128"/>
      </rPr>
      <t>行下に表示し、</t>
    </r>
    <r>
      <rPr>
        <sz val="10"/>
        <rFont val="Arial"/>
        <family val="2"/>
      </rPr>
      <t>2028</t>
    </r>
    <r>
      <rPr>
        <sz val="10"/>
        <rFont val="ＭＳ ゴシック"/>
        <family val="3"/>
        <charset val="128"/>
      </rPr>
      <t>年分の作成をするまで表示を継続する。その間毎年ｾﾞﾛが入るが、</t>
    </r>
    <rPh sb="4" eb="5">
      <t>ネン</t>
    </rPh>
    <rPh sb="6" eb="7">
      <t>ガツ</t>
    </rPh>
    <rPh sb="7" eb="9">
      <t>カヒツ</t>
    </rPh>
    <rPh sb="14" eb="17">
      <t>コガイシャ</t>
    </rPh>
    <rPh sb="17" eb="18">
      <t>カ</t>
    </rPh>
    <rPh sb="18" eb="19">
      <t>マエ</t>
    </rPh>
    <rPh sb="20" eb="22">
      <t>ジッセキ</t>
    </rPh>
    <rPh sb="28" eb="29">
      <t>ギョウ</t>
    </rPh>
    <rPh sb="29" eb="30">
      <t>シタ</t>
    </rPh>
    <rPh sb="31" eb="33">
      <t>ヒョウジ</t>
    </rPh>
    <rPh sb="39" eb="40">
      <t>ネン</t>
    </rPh>
    <rPh sb="40" eb="41">
      <t>ブン</t>
    </rPh>
    <rPh sb="42" eb="44">
      <t>サクセイ</t>
    </rPh>
    <rPh sb="49" eb="51">
      <t>ヒョウジ</t>
    </rPh>
    <rPh sb="52" eb="54">
      <t>ケイゾク</t>
    </rPh>
    <rPh sb="59" eb="60">
      <t>カン</t>
    </rPh>
    <rPh sb="60" eb="62">
      <t>マイトシ</t>
    </rPh>
    <rPh sb="66" eb="67">
      <t>ハイ</t>
    </rPh>
    <phoneticPr fontId="17"/>
  </si>
  <si>
    <r>
      <rPr>
        <sz val="10"/>
        <rFont val="ＭＳ ゴシック"/>
        <family val="3"/>
        <charset val="128"/>
      </rPr>
      <t>印刷用のページの表示は｢</t>
    </r>
    <r>
      <rPr>
        <sz val="10"/>
        <rFont val="Arial"/>
        <family val="2"/>
      </rPr>
      <t>-</t>
    </r>
    <r>
      <rPr>
        <sz val="10"/>
        <rFont val="ＭＳ ゴシック"/>
        <family val="3"/>
        <charset val="128"/>
      </rPr>
      <t>｣で表示されるようセルの書式設定をユーザー定義で設定する→現状のセルの書式設定をユーザー定義で表示させ、定義の文末に「</t>
    </r>
    <r>
      <rPr>
        <sz val="10"/>
        <rFont val="Arial"/>
        <family val="2"/>
      </rPr>
      <t>;-</t>
    </r>
    <r>
      <rPr>
        <sz val="10"/>
        <rFont val="ＭＳ ゴシック"/>
        <family val="3"/>
        <charset val="128"/>
      </rPr>
      <t>」</t>
    </r>
    <r>
      <rPr>
        <sz val="10"/>
        <rFont val="Arial"/>
        <family val="2"/>
      </rPr>
      <t>(</t>
    </r>
    <r>
      <rPr>
        <sz val="10"/>
        <rFont val="ＭＳ ゴシック"/>
        <family val="3"/>
        <charset val="128"/>
      </rPr>
      <t>ｾﾐｺﾛﾝとﾏｲﾅｽ</t>
    </r>
    <r>
      <rPr>
        <sz val="10"/>
        <rFont val="Arial"/>
        <family val="2"/>
      </rPr>
      <t>)</t>
    </r>
    <r>
      <rPr>
        <sz val="10"/>
        <rFont val="ＭＳ ゴシック"/>
        <family val="3"/>
        <charset val="128"/>
      </rPr>
      <t>をつける</t>
    </r>
    <rPh sb="25" eb="27">
      <t>ショシキ</t>
    </rPh>
    <rPh sb="27" eb="29">
      <t>セッテイ</t>
    </rPh>
    <rPh sb="34" eb="36">
      <t>テイギ</t>
    </rPh>
    <rPh sb="37" eb="39">
      <t>セッテイ</t>
    </rPh>
    <rPh sb="42" eb="44">
      <t>ゲンジョウ</t>
    </rPh>
    <rPh sb="48" eb="50">
      <t>ショシキ</t>
    </rPh>
    <rPh sb="50" eb="52">
      <t>セッテイ</t>
    </rPh>
    <rPh sb="57" eb="59">
      <t>テイギ</t>
    </rPh>
    <rPh sb="60" eb="62">
      <t>ヒョウジ</t>
    </rPh>
    <rPh sb="65" eb="67">
      <t>テイギ</t>
    </rPh>
    <rPh sb="68" eb="70">
      <t>ブンマツ</t>
    </rPh>
    <phoneticPr fontId="17"/>
  </si>
  <si>
    <r>
      <rPr>
        <b/>
        <sz val="10"/>
        <rFont val="ＭＳ ゴシック"/>
        <family val="3"/>
        <charset val="128"/>
      </rPr>
      <t>※参照資料：</t>
    </r>
    <rPh sb="1" eb="3">
      <t>サンショウ</t>
    </rPh>
    <rPh sb="3" eb="5">
      <t>シリョウ</t>
    </rPh>
    <phoneticPr fontId="17"/>
  </si>
  <si>
    <r>
      <t>F4300US_</t>
    </r>
    <r>
      <rPr>
        <sz val="10"/>
        <rFont val="ＭＳ ゴシック"/>
        <family val="3"/>
        <charset val="128"/>
      </rPr>
      <t>●●</t>
    </r>
    <r>
      <rPr>
        <sz val="10"/>
        <rFont val="Arial"/>
        <family val="2"/>
      </rPr>
      <t>12</t>
    </r>
    <r>
      <rPr>
        <sz val="10"/>
        <rFont val="ＭＳ ゴシック"/>
        <family val="3"/>
        <charset val="128"/>
      </rPr>
      <t>ﾕｰｽﾄｶｰ暦年実績</t>
    </r>
    <r>
      <rPr>
        <sz val="10"/>
        <rFont val="Arial"/>
        <family val="2"/>
      </rPr>
      <t>.xls</t>
    </r>
  </si>
  <si>
    <r>
      <rPr>
        <sz val="10"/>
        <rFont val="ＭＳ ゴシック"/>
        <family val="3"/>
        <charset val="128"/>
      </rPr>
      <t>　■</t>
    </r>
    <r>
      <rPr>
        <sz val="10"/>
        <rFont val="Arial"/>
        <family val="2"/>
      </rPr>
      <t>2016</t>
    </r>
    <r>
      <rPr>
        <sz val="10"/>
        <rFont val="ＭＳ ゴシック"/>
        <family val="3"/>
        <charset val="128"/>
      </rPr>
      <t>年の企業系については、</t>
    </r>
    <r>
      <rPr>
        <sz val="10"/>
        <rFont val="Arial"/>
        <family val="2"/>
      </rPr>
      <t>2016</t>
    </r>
    <r>
      <rPr>
        <sz val="10"/>
        <rFont val="ＭＳ ゴシック"/>
        <family val="3"/>
        <charset val="128"/>
      </rPr>
      <t>年発表時と</t>
    </r>
    <r>
      <rPr>
        <sz val="10"/>
        <rFont val="Arial"/>
        <family val="2"/>
      </rPr>
      <t>2017</t>
    </r>
    <r>
      <rPr>
        <sz val="10"/>
        <rFont val="ＭＳ ゴシック"/>
        <family val="3"/>
        <charset val="128"/>
      </rPr>
      <t>年発表時で出品台数が異なっているが、最新である</t>
    </r>
    <r>
      <rPr>
        <sz val="10"/>
        <rFont val="Arial"/>
        <family val="2"/>
      </rPr>
      <t>2017</t>
    </r>
    <r>
      <rPr>
        <sz val="10"/>
        <rFont val="ＭＳ ゴシック"/>
        <family val="3"/>
        <charset val="128"/>
      </rPr>
      <t>年発表時のデータに変更する。</t>
    </r>
    <rPh sb="6" eb="7">
      <t>ネン</t>
    </rPh>
    <rPh sb="8" eb="11">
      <t>キギョウケイ</t>
    </rPh>
    <rPh sb="21" eb="22">
      <t>ネン</t>
    </rPh>
    <rPh sb="22" eb="24">
      <t>ハッピョウ</t>
    </rPh>
    <rPh sb="24" eb="25">
      <t>ジ</t>
    </rPh>
    <rPh sb="30" eb="31">
      <t>ネン</t>
    </rPh>
    <rPh sb="31" eb="33">
      <t>ハッピョウ</t>
    </rPh>
    <rPh sb="33" eb="34">
      <t>ジ</t>
    </rPh>
    <rPh sb="35" eb="37">
      <t>シュッピン</t>
    </rPh>
    <rPh sb="37" eb="39">
      <t>ダイスウ</t>
    </rPh>
    <rPh sb="40" eb="41">
      <t>コト</t>
    </rPh>
    <rPh sb="48" eb="50">
      <t>サイシン</t>
    </rPh>
    <rPh sb="57" eb="58">
      <t>ネン</t>
    </rPh>
    <rPh sb="58" eb="60">
      <t>ハッピョウ</t>
    </rPh>
    <rPh sb="60" eb="61">
      <t>ジ</t>
    </rPh>
    <rPh sb="66" eb="68">
      <t>ヘンコウ</t>
    </rPh>
    <phoneticPr fontId="17"/>
  </si>
  <si>
    <r>
      <rPr>
        <sz val="10"/>
        <rFont val="ＭＳ ゴシック"/>
        <family val="3"/>
        <charset val="128"/>
      </rPr>
      <t>　　内容：</t>
    </r>
    <r>
      <rPr>
        <sz val="10"/>
        <rFont val="Arial"/>
        <family val="2"/>
      </rPr>
      <t>CAA</t>
    </r>
    <r>
      <rPr>
        <sz val="10"/>
        <rFont val="ＭＳ ゴシック"/>
        <family val="3"/>
        <charset val="128"/>
      </rPr>
      <t>岐阜の</t>
    </r>
    <r>
      <rPr>
        <sz val="10"/>
        <rFont val="Arial"/>
        <family val="2"/>
      </rPr>
      <t>2016</t>
    </r>
    <r>
      <rPr>
        <sz val="10"/>
        <rFont val="ＭＳ ゴシック"/>
        <family val="3"/>
        <charset val="128"/>
      </rPr>
      <t>年出品台数が</t>
    </r>
    <r>
      <rPr>
        <sz val="10"/>
        <rFont val="Arial"/>
        <family val="2"/>
      </rPr>
      <t>2016</t>
    </r>
    <r>
      <rPr>
        <sz val="10"/>
        <rFont val="ＭＳ ゴシック"/>
        <family val="3"/>
        <charset val="128"/>
      </rPr>
      <t>年発表時は</t>
    </r>
    <r>
      <rPr>
        <sz val="10"/>
        <rFont val="Arial"/>
        <family val="2"/>
      </rPr>
      <t>78,687</t>
    </r>
    <r>
      <rPr>
        <sz val="10"/>
        <rFont val="ＭＳ ゴシック"/>
        <family val="3"/>
        <charset val="128"/>
      </rPr>
      <t>台だったが</t>
    </r>
    <r>
      <rPr>
        <sz val="10"/>
        <rFont val="Arial"/>
        <family val="2"/>
      </rPr>
      <t>2017</t>
    </r>
    <r>
      <rPr>
        <sz val="10"/>
        <rFont val="ＭＳ ゴシック"/>
        <family val="3"/>
        <charset val="128"/>
      </rPr>
      <t>年発表時は</t>
    </r>
    <r>
      <rPr>
        <sz val="10"/>
        <rFont val="Arial"/>
        <family val="2"/>
      </rPr>
      <t>78,688</t>
    </r>
    <r>
      <rPr>
        <sz val="10"/>
        <rFont val="ＭＳ ゴシック"/>
        <family val="3"/>
        <charset val="128"/>
      </rPr>
      <t>台になっていた。</t>
    </r>
    <rPh sb="2" eb="4">
      <t>ナイヨウ</t>
    </rPh>
    <rPh sb="8" eb="10">
      <t>ギフ</t>
    </rPh>
    <rPh sb="15" eb="16">
      <t>ネン</t>
    </rPh>
    <rPh sb="16" eb="18">
      <t>シュッピン</t>
    </rPh>
    <rPh sb="18" eb="20">
      <t>ダイスウ</t>
    </rPh>
    <rPh sb="25" eb="26">
      <t>ネン</t>
    </rPh>
    <rPh sb="26" eb="28">
      <t>ハッピョウ</t>
    </rPh>
    <rPh sb="28" eb="29">
      <t>ジ</t>
    </rPh>
    <rPh sb="32" eb="37">
      <t>６８７ダイ</t>
    </rPh>
    <rPh sb="45" eb="46">
      <t>ネン</t>
    </rPh>
    <rPh sb="46" eb="48">
      <t>ハッピョウ</t>
    </rPh>
    <rPh sb="48" eb="49">
      <t>ジ</t>
    </rPh>
    <rPh sb="56" eb="57">
      <t>ダイ</t>
    </rPh>
    <phoneticPr fontId="17"/>
  </si>
  <si>
    <r>
      <rPr>
        <sz val="10"/>
        <rFont val="ＭＳ ゴシック"/>
        <family val="3"/>
        <charset val="128"/>
      </rPr>
      <t>＜並び替え用＞</t>
    </r>
    <r>
      <rPr>
        <sz val="10"/>
        <rFont val="Arial"/>
        <family val="2"/>
      </rPr>
      <t>2018</t>
    </r>
    <r>
      <rPr>
        <sz val="10"/>
        <rFont val="ＭＳ ゴシック"/>
        <family val="3"/>
        <charset val="128"/>
      </rPr>
      <t>年</t>
    </r>
    <r>
      <rPr>
        <sz val="10"/>
        <rFont val="Arial"/>
        <family val="2"/>
      </rPr>
      <t>12</t>
    </r>
    <r>
      <rPr>
        <sz val="10"/>
        <rFont val="ＭＳ ゴシック"/>
        <family val="3"/>
        <charset val="128"/>
      </rPr>
      <t>月追加</t>
    </r>
    <rPh sb="1" eb="2">
      <t>ナラ</t>
    </rPh>
    <rPh sb="3" eb="4">
      <t>カ</t>
    </rPh>
    <rPh sb="5" eb="6">
      <t>ヨウ</t>
    </rPh>
    <rPh sb="11" eb="12">
      <t>ネン</t>
    </rPh>
    <rPh sb="14" eb="15">
      <t>ガツ</t>
    </rPh>
    <rPh sb="15" eb="17">
      <t>ツイカ</t>
    </rPh>
    <phoneticPr fontId="17"/>
  </si>
  <si>
    <r>
      <rPr>
        <sz val="10"/>
        <rFont val="ＭＳ ゴシック"/>
        <family val="3"/>
        <charset val="128"/>
      </rPr>
      <t>ＪＡＡ</t>
    </r>
  </si>
  <si>
    <r>
      <rPr>
        <sz val="10"/>
        <rFont val="ＭＳ ゴシック"/>
        <family val="3"/>
        <charset val="128"/>
      </rPr>
      <t>アライ</t>
    </r>
    <r>
      <rPr>
        <sz val="10"/>
        <rFont val="Arial"/>
        <family val="2"/>
      </rPr>
      <t>AA</t>
    </r>
    <phoneticPr fontId="17"/>
  </si>
  <si>
    <r>
      <rPr>
        <sz val="10"/>
        <rFont val="ＭＳ ゴシック"/>
        <family val="3"/>
        <charset val="128"/>
      </rPr>
      <t>ＪＵ岐阜</t>
    </r>
    <phoneticPr fontId="17"/>
  </si>
  <si>
    <r>
      <rPr>
        <sz val="10"/>
        <rFont val="ＭＳ ゴシック"/>
        <family val="3"/>
        <charset val="128"/>
      </rPr>
      <t>ホンダ</t>
    </r>
    <phoneticPr fontId="17"/>
  </si>
  <si>
    <r>
      <rPr>
        <sz val="10"/>
        <rFont val="ＭＳ ゴシック"/>
        <family val="3"/>
        <charset val="128"/>
      </rPr>
      <t>ＫＣＡＡ</t>
    </r>
  </si>
  <si>
    <r>
      <rPr>
        <sz val="10"/>
        <rFont val="ＭＳ ゴシック"/>
        <family val="3"/>
        <charset val="128"/>
      </rPr>
      <t>ＬＡＡ</t>
    </r>
    <phoneticPr fontId="17"/>
  </si>
  <si>
    <r>
      <rPr>
        <sz val="10"/>
        <rFont val="ＭＳ ゴシック"/>
        <family val="3"/>
        <charset val="128"/>
      </rPr>
      <t>ＮＡＡ</t>
    </r>
    <phoneticPr fontId="17"/>
  </si>
  <si>
    <r>
      <rPr>
        <sz val="10"/>
        <rFont val="ＭＳ ゴシック"/>
        <family val="3"/>
        <charset val="128"/>
      </rPr>
      <t>ＪＵ愛知</t>
    </r>
    <rPh sb="2" eb="4">
      <t>アイチ</t>
    </rPh>
    <phoneticPr fontId="17"/>
  </si>
  <si>
    <r>
      <rPr>
        <sz val="10"/>
        <rFont val="ＭＳ ゴシック"/>
        <family val="3"/>
        <charset val="128"/>
      </rPr>
      <t>データ入力欄</t>
    </r>
    <rPh sb="3" eb="5">
      <t>ニュウリョク</t>
    </rPh>
    <rPh sb="5" eb="6">
      <t>ラン</t>
    </rPh>
    <phoneticPr fontId="17"/>
  </si>
  <si>
    <r>
      <rPr>
        <sz val="9"/>
        <rFont val="ＭＳ Ｐゴシック"/>
        <family val="3"/>
        <charset val="128"/>
      </rPr>
      <t>増減率</t>
    </r>
    <rPh sb="0" eb="2">
      <t>ゾウゲン</t>
    </rPh>
    <rPh sb="2" eb="3">
      <t>リツ</t>
    </rPh>
    <phoneticPr fontId="17"/>
  </si>
  <si>
    <r>
      <rPr>
        <sz val="9"/>
        <rFont val="ＭＳ Ｐゴシック"/>
        <family val="3"/>
        <charset val="128"/>
      </rPr>
      <t>過去</t>
    </r>
    <r>
      <rPr>
        <sz val="9"/>
        <rFont val="Arial"/>
        <family val="2"/>
      </rPr>
      <t>10</t>
    </r>
    <r>
      <rPr>
        <sz val="9"/>
        <rFont val="ＭＳ Ｐゴシック"/>
        <family val="3"/>
        <charset val="128"/>
      </rPr>
      <t>年
平均増減率</t>
    </r>
    <rPh sb="0" eb="2">
      <t>カコ</t>
    </rPh>
    <rPh sb="4" eb="5">
      <t>ネン</t>
    </rPh>
    <rPh sb="6" eb="8">
      <t>ヘイキン</t>
    </rPh>
    <rPh sb="8" eb="10">
      <t>ゾウゲン</t>
    </rPh>
    <rPh sb="10" eb="11">
      <t>リツ</t>
    </rPh>
    <phoneticPr fontId="17"/>
  </si>
  <si>
    <r>
      <rPr>
        <sz val="10"/>
        <rFont val="ＭＳ Ｐゴシック"/>
        <family val="3"/>
        <charset val="128"/>
      </rPr>
      <t>企業系</t>
    </r>
    <rPh sb="0" eb="2">
      <t>キギョウ</t>
    </rPh>
    <rPh sb="2" eb="3">
      <t>ケイ</t>
    </rPh>
    <phoneticPr fontId="17"/>
  </si>
  <si>
    <r>
      <rPr>
        <sz val="10"/>
        <rFont val="ＭＳ Ｐゴシック"/>
        <family val="3"/>
        <charset val="128"/>
      </rPr>
      <t>ＪＵ系</t>
    </r>
    <rPh sb="2" eb="3">
      <t>ケイ</t>
    </rPh>
    <phoneticPr fontId="17"/>
  </si>
  <si>
    <r>
      <rPr>
        <sz val="10"/>
        <rFont val="ＭＳ Ｐゴシック"/>
        <family val="3"/>
        <charset val="128"/>
      </rPr>
      <t>ﾒｰｶｰ・ﾃﾞｨｰﾗｰ系</t>
    </r>
    <rPh sb="11" eb="12">
      <t>ケイ</t>
    </rPh>
    <phoneticPr fontId="17"/>
  </si>
  <si>
    <r>
      <rPr>
        <sz val="10"/>
        <rFont val="ＭＳ Ｐゴシック"/>
        <family val="3"/>
        <charset val="128"/>
      </rPr>
      <t>合計</t>
    </r>
    <rPh sb="0" eb="2">
      <t>ゴウケイ</t>
    </rPh>
    <phoneticPr fontId="17"/>
  </si>
  <si>
    <r>
      <rPr>
        <sz val="8"/>
        <rFont val="ＭＳ ゴシック"/>
        <family val="3"/>
        <charset val="128"/>
      </rPr>
      <t>グラフ作成元データ</t>
    </r>
    <rPh sb="3" eb="5">
      <t>サクセイ</t>
    </rPh>
    <rPh sb="5" eb="6">
      <t>モト</t>
    </rPh>
    <phoneticPr fontId="17"/>
  </si>
  <si>
    <r>
      <rPr>
        <sz val="10"/>
        <rFont val="ＭＳ Ｐゴシック"/>
        <family val="3"/>
        <charset val="128"/>
      </rPr>
      <t xml:space="preserve">企業系
</t>
    </r>
    <r>
      <rPr>
        <sz val="10"/>
        <rFont val="Arial"/>
        <family val="2"/>
      </rPr>
      <t>Company-affiliated</t>
    </r>
    <rPh sb="0" eb="2">
      <t>キギョウ</t>
    </rPh>
    <rPh sb="2" eb="3">
      <t>ケイ</t>
    </rPh>
    <phoneticPr fontId="17"/>
  </si>
  <si>
    <r>
      <t>JU</t>
    </r>
    <r>
      <rPr>
        <sz val="10"/>
        <rFont val="ＭＳ Ｐゴシック"/>
        <family val="3"/>
        <charset val="128"/>
      </rPr>
      <t xml:space="preserve">系
</t>
    </r>
    <r>
      <rPr>
        <sz val="10"/>
        <rFont val="Arial"/>
        <family val="2"/>
      </rPr>
      <t>JU-affiliated</t>
    </r>
    <rPh sb="2" eb="3">
      <t>ケイ</t>
    </rPh>
    <phoneticPr fontId="17"/>
  </si>
  <si>
    <r>
      <t>Company-affiliated</t>
    </r>
    <r>
      <rPr>
        <sz val="5"/>
        <rFont val="メイリオ"/>
        <family val="3"/>
        <charset val="128"/>
      </rPr>
      <t>：</t>
    </r>
    <r>
      <rPr>
        <sz val="5"/>
        <rFont val="Arial"/>
        <family val="2"/>
      </rPr>
      <t>Sites operated by a company engaged primarily in the auto auction business.</t>
    </r>
    <phoneticPr fontId="17"/>
  </si>
  <si>
    <r>
      <t>JU</t>
    </r>
    <r>
      <rPr>
        <sz val="6"/>
        <rFont val="メイリオ"/>
        <family val="3"/>
        <charset val="128"/>
      </rPr>
      <t>系：</t>
    </r>
    <r>
      <rPr>
        <sz val="6"/>
        <rFont val="Arial"/>
        <family val="2"/>
      </rPr>
      <t>(</t>
    </r>
    <r>
      <rPr>
        <sz val="6"/>
        <rFont val="メイリオ"/>
        <family val="3"/>
        <charset val="128"/>
      </rPr>
      <t>一社</t>
    </r>
    <r>
      <rPr>
        <sz val="6"/>
        <rFont val="Arial"/>
        <family val="2"/>
      </rPr>
      <t>)</t>
    </r>
    <r>
      <rPr>
        <sz val="6"/>
        <rFont val="メイリオ"/>
        <family val="3"/>
        <charset val="128"/>
      </rPr>
      <t>日本中古自動車販売協会連合会傘下の各都道府県中古自動車販売商工組合により運営されている会場</t>
    </r>
    <rPh sb="8" eb="10">
      <t>ニホン</t>
    </rPh>
    <rPh sb="10" eb="12">
      <t>チュウコ</t>
    </rPh>
    <rPh sb="12" eb="14">
      <t>ジドウ</t>
    </rPh>
    <rPh sb="14" eb="15">
      <t>シャ</t>
    </rPh>
    <rPh sb="15" eb="17">
      <t>ハンバイ</t>
    </rPh>
    <rPh sb="17" eb="19">
      <t>キョウカイ</t>
    </rPh>
    <rPh sb="19" eb="22">
      <t>レンゴウカイ</t>
    </rPh>
    <rPh sb="22" eb="24">
      <t>サンカ</t>
    </rPh>
    <rPh sb="25" eb="26">
      <t>カク</t>
    </rPh>
    <rPh sb="26" eb="28">
      <t>トドウ</t>
    </rPh>
    <rPh sb="28" eb="29">
      <t>フ</t>
    </rPh>
    <rPh sb="29" eb="30">
      <t>ケン</t>
    </rPh>
    <rPh sb="30" eb="32">
      <t>チュウコ</t>
    </rPh>
    <rPh sb="44" eb="46">
      <t>ウンエイ</t>
    </rPh>
    <rPh sb="51" eb="53">
      <t>カイジョウ</t>
    </rPh>
    <phoneticPr fontId="17"/>
  </si>
  <si>
    <r>
      <t>Manufacturer/Dealer-affiliated</t>
    </r>
    <r>
      <rPr>
        <sz val="5"/>
        <rFont val="メイリオ"/>
        <family val="3"/>
        <charset val="128"/>
      </rPr>
      <t>：</t>
    </r>
    <r>
      <rPr>
        <sz val="5"/>
        <rFont val="Arial"/>
        <family val="2"/>
      </rPr>
      <t>Sites operated by auto manufacturers, their subsidiaries or dealers</t>
    </r>
    <r>
      <rPr>
        <sz val="5"/>
        <rFont val="メイリオ"/>
        <family val="3"/>
        <charset val="128"/>
      </rPr>
      <t>．</t>
    </r>
    <phoneticPr fontId="17"/>
  </si>
  <si>
    <r>
      <rPr>
        <sz val="10"/>
        <rFont val="ＭＳ ゴシック"/>
        <family val="3"/>
        <charset val="128"/>
      </rPr>
      <t>　■</t>
    </r>
    <r>
      <rPr>
        <sz val="10"/>
        <rFont val="Arial"/>
        <family val="2"/>
      </rPr>
      <t>2013</t>
    </r>
    <r>
      <rPr>
        <sz val="10"/>
        <rFont val="ＭＳ ゴシック"/>
        <family val="3"/>
        <charset val="128"/>
      </rPr>
      <t>年の企業系、ﾒｰｶｰ・ﾃﾞｨｰﾗｰ系については、</t>
    </r>
    <r>
      <rPr>
        <sz val="10"/>
        <rFont val="Arial"/>
        <family val="2"/>
      </rPr>
      <t>2013</t>
    </r>
    <r>
      <rPr>
        <sz val="10"/>
        <rFont val="ＭＳ ゴシック"/>
        <family val="3"/>
        <charset val="128"/>
      </rPr>
      <t>年発表時と</t>
    </r>
    <r>
      <rPr>
        <sz val="10"/>
        <rFont val="Arial"/>
        <family val="2"/>
      </rPr>
      <t>2014</t>
    </r>
    <r>
      <rPr>
        <sz val="10"/>
        <rFont val="ＭＳ ゴシック"/>
        <family val="3"/>
        <charset val="128"/>
      </rPr>
      <t>年発表時で出品台数が異なっているが、最新である</t>
    </r>
    <r>
      <rPr>
        <sz val="10"/>
        <rFont val="Arial"/>
        <family val="2"/>
      </rPr>
      <t>2014</t>
    </r>
    <r>
      <rPr>
        <sz val="10"/>
        <rFont val="ＭＳ ゴシック"/>
        <family val="3"/>
        <charset val="128"/>
      </rPr>
      <t>年発表時のデータに変更する。</t>
    </r>
    <rPh sb="6" eb="7">
      <t>ネン</t>
    </rPh>
    <rPh sb="8" eb="11">
      <t>キギョウケイ</t>
    </rPh>
    <rPh sb="23" eb="24">
      <t>ケイ</t>
    </rPh>
    <rPh sb="34" eb="35">
      <t>ネン</t>
    </rPh>
    <rPh sb="35" eb="37">
      <t>ハッピョウ</t>
    </rPh>
    <rPh sb="37" eb="38">
      <t>ジ</t>
    </rPh>
    <rPh sb="43" eb="44">
      <t>ネン</t>
    </rPh>
    <rPh sb="44" eb="46">
      <t>ハッピョウ</t>
    </rPh>
    <rPh sb="46" eb="47">
      <t>ジ</t>
    </rPh>
    <rPh sb="48" eb="50">
      <t>シュッピン</t>
    </rPh>
    <rPh sb="50" eb="52">
      <t>ダイスウ</t>
    </rPh>
    <rPh sb="53" eb="54">
      <t>コト</t>
    </rPh>
    <rPh sb="61" eb="63">
      <t>サイシン</t>
    </rPh>
    <rPh sb="70" eb="71">
      <t>ネン</t>
    </rPh>
    <rPh sb="71" eb="73">
      <t>ハッピョウ</t>
    </rPh>
    <rPh sb="73" eb="74">
      <t>ジ</t>
    </rPh>
    <rPh sb="79" eb="81">
      <t>ヘンコウ</t>
    </rPh>
    <phoneticPr fontId="17"/>
  </si>
  <si>
    <r>
      <rPr>
        <sz val="10"/>
        <rFont val="ＭＳ ゴシック"/>
        <family val="3"/>
        <charset val="128"/>
      </rPr>
      <t>　　　　　</t>
    </r>
    <r>
      <rPr>
        <sz val="10"/>
        <rFont val="Arial"/>
        <family val="2"/>
      </rPr>
      <t>2013</t>
    </r>
    <r>
      <rPr>
        <sz val="10"/>
        <rFont val="ＭＳ ゴシック"/>
        <family val="3"/>
        <charset val="128"/>
      </rPr>
      <t>年の集計時において、札幌</t>
    </r>
    <r>
      <rPr>
        <sz val="10"/>
        <rFont val="Arial"/>
        <family val="2"/>
      </rPr>
      <t>AA</t>
    </r>
    <r>
      <rPr>
        <sz val="10"/>
        <rFont val="ＭＳ ゴシック"/>
        <family val="3"/>
        <charset val="128"/>
      </rPr>
      <t>は合同開催合計台数</t>
    </r>
    <r>
      <rPr>
        <sz val="10"/>
        <rFont val="Arial"/>
        <family val="2"/>
      </rPr>
      <t>5,612</t>
    </r>
    <r>
      <rPr>
        <sz val="10"/>
        <rFont val="ＭＳ ゴシック"/>
        <family val="3"/>
        <charset val="128"/>
      </rPr>
      <t>台</t>
    </r>
    <r>
      <rPr>
        <sz val="10"/>
        <rFont val="Arial"/>
        <family val="2"/>
      </rPr>
      <t>(</t>
    </r>
    <r>
      <rPr>
        <sz val="10"/>
        <rFont val="ＭＳ ゴシック"/>
        <family val="3"/>
        <charset val="128"/>
      </rPr>
      <t>札幌</t>
    </r>
    <r>
      <rPr>
        <sz val="10"/>
        <rFont val="Arial"/>
        <family val="2"/>
      </rPr>
      <t>AA3,243</t>
    </r>
    <r>
      <rPr>
        <sz val="10"/>
        <rFont val="ＭＳ ゴシック"/>
        <family val="3"/>
        <charset val="128"/>
      </rPr>
      <t>台と</t>
    </r>
    <r>
      <rPr>
        <sz val="10"/>
        <rFont val="Arial"/>
        <family val="2"/>
      </rPr>
      <t>NAA</t>
    </r>
    <r>
      <rPr>
        <sz val="10"/>
        <rFont val="ＭＳ ゴシック"/>
        <family val="3"/>
        <charset val="128"/>
      </rPr>
      <t>北海道</t>
    </r>
    <r>
      <rPr>
        <sz val="10"/>
        <rFont val="Arial"/>
        <family val="2"/>
      </rPr>
      <t>2,369</t>
    </r>
    <r>
      <rPr>
        <sz val="10"/>
        <rFont val="ＭＳ ゴシック"/>
        <family val="3"/>
        <charset val="128"/>
      </rPr>
      <t>台</t>
    </r>
    <r>
      <rPr>
        <sz val="10"/>
        <rFont val="Arial"/>
        <family val="2"/>
      </rPr>
      <t>)</t>
    </r>
    <r>
      <rPr>
        <sz val="10"/>
        <rFont val="ＭＳ ゴシック"/>
        <family val="3"/>
        <charset val="128"/>
      </rPr>
      <t>を申告し、</t>
    </r>
    <r>
      <rPr>
        <sz val="10"/>
        <rFont val="Arial"/>
        <family val="2"/>
      </rPr>
      <t>NAA</t>
    </r>
    <r>
      <rPr>
        <sz val="10"/>
        <rFont val="ＭＳ ゴシック"/>
        <family val="3"/>
        <charset val="128"/>
      </rPr>
      <t>北海道は自社分</t>
    </r>
    <r>
      <rPr>
        <sz val="10"/>
        <rFont val="Arial"/>
        <family val="2"/>
      </rPr>
      <t>2,369</t>
    </r>
    <r>
      <rPr>
        <sz val="10"/>
        <rFont val="ＭＳ ゴシック"/>
        <family val="3"/>
        <charset val="128"/>
      </rPr>
      <t>台のみを申告していた。</t>
    </r>
    <rPh sb="9" eb="10">
      <t>ネン</t>
    </rPh>
    <rPh sb="11" eb="13">
      <t>シュウケイ</t>
    </rPh>
    <rPh sb="13" eb="14">
      <t>ジ</t>
    </rPh>
    <rPh sb="19" eb="21">
      <t>サッポロ</t>
    </rPh>
    <rPh sb="24" eb="26">
      <t>ゴウドウ</t>
    </rPh>
    <rPh sb="26" eb="28">
      <t>カイサイ</t>
    </rPh>
    <rPh sb="28" eb="30">
      <t>ゴウケイ</t>
    </rPh>
    <rPh sb="30" eb="32">
      <t>ダイスウ</t>
    </rPh>
    <rPh sb="37" eb="38">
      <t>ダイ</t>
    </rPh>
    <rPh sb="39" eb="41">
      <t>サッポロ</t>
    </rPh>
    <rPh sb="48" eb="49">
      <t>ダイ</t>
    </rPh>
    <rPh sb="53" eb="56">
      <t>ホッカイドウ</t>
    </rPh>
    <rPh sb="61" eb="62">
      <t>ダイ</t>
    </rPh>
    <rPh sb="64" eb="66">
      <t>シンコク</t>
    </rPh>
    <phoneticPr fontId="17"/>
  </si>
  <si>
    <r>
      <rPr>
        <sz val="10"/>
        <rFont val="ＭＳ ゴシック"/>
        <family val="3"/>
        <charset val="128"/>
      </rPr>
      <t>　　　　　その事実に気付いたﾕｰｽﾄｶｰが先方に確認した結果、合同開催合計台数を</t>
    </r>
    <r>
      <rPr>
        <sz val="10"/>
        <rFont val="Arial"/>
        <family val="2"/>
      </rPr>
      <t>NAA</t>
    </r>
    <r>
      <rPr>
        <sz val="10"/>
        <rFont val="ＭＳ ゴシック"/>
        <family val="3"/>
        <charset val="128"/>
      </rPr>
      <t>北海道で申告することになった。</t>
    </r>
    <rPh sb="7" eb="9">
      <t>ジジツ</t>
    </rPh>
    <rPh sb="10" eb="12">
      <t>キヅ</t>
    </rPh>
    <rPh sb="21" eb="23">
      <t>センポウ</t>
    </rPh>
    <rPh sb="24" eb="26">
      <t>カクニン</t>
    </rPh>
    <rPh sb="28" eb="30">
      <t>ケッカ</t>
    </rPh>
    <rPh sb="31" eb="33">
      <t>ゴウドウ</t>
    </rPh>
    <rPh sb="33" eb="35">
      <t>カイサイ</t>
    </rPh>
    <rPh sb="35" eb="37">
      <t>ゴウケイ</t>
    </rPh>
    <rPh sb="37" eb="39">
      <t>ダイスウ</t>
    </rPh>
    <rPh sb="43" eb="46">
      <t>ホッカイドウ</t>
    </rPh>
    <rPh sb="47" eb="49">
      <t>シンコク</t>
    </rPh>
    <phoneticPr fontId="17"/>
  </si>
  <si>
    <r>
      <rPr>
        <sz val="10"/>
        <rFont val="ＭＳ ゴシック"/>
        <family val="3"/>
        <charset val="128"/>
      </rPr>
      <t>　　　　　　企業系　　　　：</t>
    </r>
    <r>
      <rPr>
        <sz val="10"/>
        <rFont val="Arial"/>
        <family val="2"/>
      </rPr>
      <t>(</t>
    </r>
    <r>
      <rPr>
        <sz val="10"/>
        <rFont val="ＭＳ ゴシック"/>
        <family val="3"/>
        <charset val="128"/>
      </rPr>
      <t>変更前</t>
    </r>
    <r>
      <rPr>
        <sz val="10"/>
        <rFont val="Arial"/>
        <family val="2"/>
      </rPr>
      <t>)4,658,642</t>
    </r>
    <r>
      <rPr>
        <sz val="10"/>
        <rFont val="ＭＳ ゴシック"/>
        <family val="3"/>
        <charset val="128"/>
      </rPr>
      <t>台、</t>
    </r>
    <r>
      <rPr>
        <sz val="10"/>
        <rFont val="Arial"/>
        <family val="2"/>
      </rPr>
      <t>(</t>
    </r>
    <r>
      <rPr>
        <sz val="10"/>
        <rFont val="ＭＳ ゴシック"/>
        <family val="3"/>
        <charset val="128"/>
      </rPr>
      <t>変更後</t>
    </r>
    <r>
      <rPr>
        <sz val="10"/>
        <rFont val="Arial"/>
        <family val="2"/>
      </rPr>
      <t>)4,653,030</t>
    </r>
    <r>
      <rPr>
        <sz val="10"/>
        <rFont val="ＭＳ ゴシック"/>
        <family val="3"/>
        <charset val="128"/>
      </rPr>
      <t>台、</t>
    </r>
    <r>
      <rPr>
        <sz val="10"/>
        <rFont val="Arial"/>
        <family val="2"/>
      </rPr>
      <t>(</t>
    </r>
    <r>
      <rPr>
        <sz val="10"/>
        <rFont val="ＭＳ ゴシック"/>
        <family val="3"/>
        <charset val="128"/>
      </rPr>
      <t>差額</t>
    </r>
    <r>
      <rPr>
        <sz val="10"/>
        <rFont val="Arial"/>
        <family val="2"/>
      </rPr>
      <t>)</t>
    </r>
    <r>
      <rPr>
        <sz val="10"/>
        <rFont val="ＭＳ ゴシック"/>
        <family val="3"/>
        <charset val="128"/>
      </rPr>
      <t>▲</t>
    </r>
    <r>
      <rPr>
        <sz val="10"/>
        <rFont val="Arial"/>
        <family val="2"/>
      </rPr>
      <t>5,612</t>
    </r>
    <r>
      <rPr>
        <sz val="10"/>
        <rFont val="ＭＳ ゴシック"/>
        <family val="3"/>
        <charset val="128"/>
      </rPr>
      <t>台</t>
    </r>
    <rPh sb="6" eb="9">
      <t>キギョウケイ</t>
    </rPh>
    <rPh sb="15" eb="17">
      <t>ヘンコウ</t>
    </rPh>
    <rPh sb="17" eb="18">
      <t>マエ</t>
    </rPh>
    <rPh sb="28" eb="29">
      <t>ダイ</t>
    </rPh>
    <rPh sb="31" eb="33">
      <t>ヘンコウ</t>
    </rPh>
    <rPh sb="33" eb="34">
      <t>ゴ</t>
    </rPh>
    <rPh sb="44" eb="45">
      <t>ダイ</t>
    </rPh>
    <rPh sb="47" eb="49">
      <t>サガク</t>
    </rPh>
    <rPh sb="56" eb="57">
      <t>ダイ</t>
    </rPh>
    <phoneticPr fontId="17"/>
  </si>
  <si>
    <r>
      <rPr>
        <sz val="10"/>
        <rFont val="ＭＳ ゴシック"/>
        <family val="3"/>
        <charset val="128"/>
      </rPr>
      <t>　　　　　　ﾒｰｶｰ・ﾃﾞｨｰﾗｰ系：</t>
    </r>
    <r>
      <rPr>
        <sz val="10"/>
        <rFont val="Arial"/>
        <family val="2"/>
      </rPr>
      <t>(</t>
    </r>
    <r>
      <rPr>
        <sz val="10"/>
        <rFont val="ＭＳ ゴシック"/>
        <family val="3"/>
        <charset val="128"/>
      </rPr>
      <t>変更前</t>
    </r>
    <r>
      <rPr>
        <sz val="10"/>
        <rFont val="Arial"/>
        <family val="2"/>
      </rPr>
      <t>)1,152,150</t>
    </r>
    <r>
      <rPr>
        <sz val="10"/>
        <rFont val="ＭＳ ゴシック"/>
        <family val="3"/>
        <charset val="128"/>
      </rPr>
      <t>台、</t>
    </r>
    <r>
      <rPr>
        <sz val="10"/>
        <rFont val="Arial"/>
        <family val="2"/>
      </rPr>
      <t>(</t>
    </r>
    <r>
      <rPr>
        <sz val="10"/>
        <rFont val="ＭＳ ゴシック"/>
        <family val="3"/>
        <charset val="128"/>
      </rPr>
      <t>変更後</t>
    </r>
    <r>
      <rPr>
        <sz val="10"/>
        <rFont val="Arial"/>
        <family val="2"/>
      </rPr>
      <t>)1,155,393</t>
    </r>
    <r>
      <rPr>
        <sz val="10"/>
        <rFont val="ＭＳ ゴシック"/>
        <family val="3"/>
        <charset val="128"/>
      </rPr>
      <t>台、</t>
    </r>
    <r>
      <rPr>
        <sz val="10"/>
        <rFont val="Arial"/>
        <family val="2"/>
      </rPr>
      <t>(</t>
    </r>
    <r>
      <rPr>
        <sz val="10"/>
        <rFont val="ＭＳ ゴシック"/>
        <family val="3"/>
        <charset val="128"/>
      </rPr>
      <t>差額</t>
    </r>
    <r>
      <rPr>
        <sz val="10"/>
        <rFont val="Arial"/>
        <family val="2"/>
      </rPr>
      <t>)</t>
    </r>
    <r>
      <rPr>
        <sz val="10"/>
        <rFont val="ＭＳ ゴシック"/>
        <family val="3"/>
        <charset val="128"/>
      </rPr>
      <t>　</t>
    </r>
    <r>
      <rPr>
        <sz val="10"/>
        <rFont val="Arial"/>
        <family val="2"/>
      </rPr>
      <t>3,243</t>
    </r>
    <r>
      <rPr>
        <sz val="10"/>
        <rFont val="ＭＳ ゴシック"/>
        <family val="3"/>
        <charset val="128"/>
      </rPr>
      <t>台</t>
    </r>
    <rPh sb="17" eb="18">
      <t>ケイ</t>
    </rPh>
    <rPh sb="20" eb="22">
      <t>ヘンコウ</t>
    </rPh>
    <rPh sb="22" eb="23">
      <t>マエ</t>
    </rPh>
    <rPh sb="33" eb="34">
      <t>ダイ</t>
    </rPh>
    <rPh sb="36" eb="38">
      <t>ヘンコウ</t>
    </rPh>
    <rPh sb="38" eb="39">
      <t>ゴ</t>
    </rPh>
    <rPh sb="49" eb="50">
      <t>ダイ</t>
    </rPh>
    <rPh sb="52" eb="54">
      <t>サガク</t>
    </rPh>
    <rPh sb="61" eb="62">
      <t>ダイ</t>
    </rPh>
    <phoneticPr fontId="17"/>
  </si>
  <si>
    <r>
      <rPr>
        <sz val="10"/>
        <rFont val="ＭＳ ゴシック"/>
        <family val="3"/>
        <charset val="128"/>
      </rPr>
      <t>　　　　　　合計　　　　　：</t>
    </r>
    <r>
      <rPr>
        <sz val="10"/>
        <rFont val="Arial"/>
        <family val="2"/>
      </rPr>
      <t>(</t>
    </r>
    <r>
      <rPr>
        <sz val="10"/>
        <rFont val="ＭＳ ゴシック"/>
        <family val="3"/>
        <charset val="128"/>
      </rPr>
      <t>変更前</t>
    </r>
    <r>
      <rPr>
        <sz val="10"/>
        <rFont val="Arial"/>
        <family val="2"/>
      </rPr>
      <t>)7,047,405</t>
    </r>
    <r>
      <rPr>
        <sz val="10"/>
        <rFont val="ＭＳ ゴシック"/>
        <family val="3"/>
        <charset val="128"/>
      </rPr>
      <t>台、</t>
    </r>
    <r>
      <rPr>
        <sz val="10"/>
        <rFont val="Arial"/>
        <family val="2"/>
      </rPr>
      <t>(</t>
    </r>
    <r>
      <rPr>
        <sz val="10"/>
        <rFont val="ＭＳ ゴシック"/>
        <family val="3"/>
        <charset val="128"/>
      </rPr>
      <t>変更後</t>
    </r>
    <r>
      <rPr>
        <sz val="10"/>
        <rFont val="Arial"/>
        <family val="2"/>
      </rPr>
      <t>)7,045,036</t>
    </r>
    <r>
      <rPr>
        <sz val="10"/>
        <rFont val="ＭＳ ゴシック"/>
        <family val="3"/>
        <charset val="128"/>
      </rPr>
      <t>台、</t>
    </r>
    <r>
      <rPr>
        <sz val="10"/>
        <rFont val="Arial"/>
        <family val="2"/>
      </rPr>
      <t>(</t>
    </r>
    <r>
      <rPr>
        <sz val="10"/>
        <rFont val="ＭＳ ゴシック"/>
        <family val="3"/>
        <charset val="128"/>
      </rPr>
      <t>差額</t>
    </r>
    <r>
      <rPr>
        <sz val="10"/>
        <rFont val="Arial"/>
        <family val="2"/>
      </rPr>
      <t>)</t>
    </r>
    <r>
      <rPr>
        <sz val="10"/>
        <rFont val="ＭＳ ゴシック"/>
        <family val="3"/>
        <charset val="128"/>
      </rPr>
      <t>▲</t>
    </r>
    <r>
      <rPr>
        <sz val="10"/>
        <rFont val="Arial"/>
        <family val="2"/>
      </rPr>
      <t>2,369</t>
    </r>
    <r>
      <rPr>
        <sz val="10"/>
        <rFont val="ＭＳ ゴシック"/>
        <family val="3"/>
        <charset val="128"/>
      </rPr>
      <t>台</t>
    </r>
    <rPh sb="6" eb="8">
      <t>ゴウケイ</t>
    </rPh>
    <rPh sb="15" eb="17">
      <t>ヘンコウ</t>
    </rPh>
    <rPh sb="17" eb="18">
      <t>マエ</t>
    </rPh>
    <rPh sb="28" eb="29">
      <t>ダイ</t>
    </rPh>
    <rPh sb="31" eb="33">
      <t>ヘンコウ</t>
    </rPh>
    <rPh sb="33" eb="34">
      <t>ゴ</t>
    </rPh>
    <rPh sb="44" eb="45">
      <t>ダイ</t>
    </rPh>
    <rPh sb="47" eb="49">
      <t>サガク</t>
    </rPh>
    <rPh sb="56" eb="57">
      <t>ダイ</t>
    </rPh>
    <phoneticPr fontId="17"/>
  </si>
  <si>
    <r>
      <rPr>
        <sz val="7"/>
        <color theme="0"/>
        <rFont val="メイリオ"/>
        <family val="3"/>
        <charset val="128"/>
      </rPr>
      <t>増減率</t>
    </r>
    <rPh sb="0" eb="2">
      <t>ゾウゲン</t>
    </rPh>
    <rPh sb="2" eb="3">
      <t>リツ</t>
    </rPh>
    <phoneticPr fontId="17"/>
  </si>
  <si>
    <t>* Beginning with 2023.3, the recycle business, which was previously included in “other,” is a reportable segment. Figures for “recycling” and “other” have been revised to conform with this change.</t>
    <phoneticPr fontId="29"/>
  </si>
  <si>
    <r>
      <rPr>
        <sz val="10"/>
        <rFont val="ＭＳ Ｐゴシック"/>
        <family val="3"/>
        <charset val="128"/>
      </rPr>
      <t xml:space="preserve">メーカー・ディーラー系
</t>
    </r>
    <r>
      <rPr>
        <sz val="10"/>
        <rFont val="Arial"/>
        <family val="2"/>
      </rPr>
      <t>Manufacturer/Dealer-affiliated</t>
    </r>
    <rPh sb="10" eb="11">
      <t>ケイ</t>
    </rPh>
    <phoneticPr fontId="17"/>
  </si>
  <si>
    <r>
      <rPr>
        <sz val="10"/>
        <rFont val="メイリオ"/>
        <family val="3"/>
        <charset val="128"/>
      </rPr>
      <t>ＵＳＳ</t>
    </r>
  </si>
  <si>
    <r>
      <rPr>
        <sz val="10"/>
        <rFont val="メイリオ"/>
        <family val="3"/>
        <charset val="128"/>
      </rPr>
      <t>ＴＡＡ</t>
    </r>
    <phoneticPr fontId="17"/>
  </si>
  <si>
    <r>
      <rPr>
        <sz val="10"/>
        <rFont val="メイリオ"/>
        <family val="3"/>
        <charset val="128"/>
      </rPr>
      <t>ＪＡＡ</t>
    </r>
    <phoneticPr fontId="17"/>
  </si>
  <si>
    <r>
      <rPr>
        <sz val="10"/>
        <rFont val="メイリオ"/>
        <family val="3"/>
        <charset val="128"/>
      </rPr>
      <t>ＣＡＡ</t>
    </r>
    <phoneticPr fontId="17"/>
  </si>
  <si>
    <r>
      <t>Arai</t>
    </r>
    <r>
      <rPr>
        <sz val="10"/>
        <rFont val="メイリオ"/>
        <family val="3"/>
        <charset val="128"/>
      </rPr>
      <t>ＡＡ</t>
    </r>
    <phoneticPr fontId="17"/>
  </si>
  <si>
    <r>
      <rPr>
        <sz val="10"/>
        <rFont val="メイリオ"/>
        <family val="3"/>
        <charset val="128"/>
      </rPr>
      <t>ＬＡＡ</t>
    </r>
    <phoneticPr fontId="17"/>
  </si>
  <si>
    <r>
      <t xml:space="preserve"> </t>
    </r>
    <r>
      <rPr>
        <sz val="10"/>
        <rFont val="メイリオ"/>
        <family val="3"/>
        <charset val="128"/>
      </rPr>
      <t>その他　</t>
    </r>
    <r>
      <rPr>
        <sz val="10"/>
        <rFont val="Arial"/>
        <family val="2"/>
      </rPr>
      <t xml:space="preserve"> Other</t>
    </r>
    <phoneticPr fontId="29"/>
  </si>
  <si>
    <r>
      <rPr>
        <sz val="10"/>
        <rFont val="メイリオ"/>
        <family val="3"/>
        <charset val="128"/>
      </rPr>
      <t>ＫＣＡＡ</t>
    </r>
  </si>
  <si>
    <r>
      <rPr>
        <sz val="8"/>
        <color theme="0"/>
        <rFont val="メイリオ"/>
        <family val="3"/>
        <charset val="128"/>
      </rPr>
      <t xml:space="preserve">順位
</t>
    </r>
    <r>
      <rPr>
        <sz val="6"/>
        <color theme="0"/>
        <rFont val="Arial"/>
        <family val="2"/>
      </rPr>
      <t>Ranking</t>
    </r>
    <rPh sb="0" eb="2">
      <t>ジュンイ</t>
    </rPh>
    <phoneticPr fontId="17"/>
  </si>
  <si>
    <r>
      <rPr>
        <sz val="8"/>
        <color theme="0"/>
        <rFont val="メイリオ"/>
        <family val="3"/>
        <charset val="128"/>
      </rPr>
      <t xml:space="preserve">会場名
</t>
    </r>
    <r>
      <rPr>
        <sz val="6"/>
        <color theme="0"/>
        <rFont val="Arial"/>
        <family val="2"/>
      </rPr>
      <t>Site Name</t>
    </r>
    <rPh sb="0" eb="2">
      <t>カイジョウ</t>
    </rPh>
    <rPh sb="2" eb="3">
      <t>メイ</t>
    </rPh>
    <phoneticPr fontId="17"/>
  </si>
  <si>
    <r>
      <rPr>
        <sz val="6"/>
        <color theme="0"/>
        <rFont val="メイリオ"/>
        <family val="3"/>
        <charset val="128"/>
      </rPr>
      <t>出品台数</t>
    </r>
    <r>
      <rPr>
        <sz val="5"/>
        <color theme="0"/>
        <rFont val="Arial"/>
        <family val="2"/>
      </rPr>
      <t xml:space="preserve">
</t>
    </r>
    <r>
      <rPr>
        <sz val="6"/>
        <color theme="0"/>
        <rFont val="Arial"/>
        <family val="2"/>
      </rPr>
      <t>No. of 
Consigned Vehicles</t>
    </r>
    <rPh sb="0" eb="2">
      <t>シュッピン</t>
    </rPh>
    <rPh sb="2" eb="4">
      <t>ダイスウ</t>
    </rPh>
    <phoneticPr fontId="29"/>
  </si>
  <si>
    <r>
      <rPr>
        <sz val="8"/>
        <rFont val="メイリオ"/>
        <family val="3"/>
        <charset val="128"/>
      </rPr>
      <t>（単位：台、％</t>
    </r>
    <r>
      <rPr>
        <sz val="8"/>
        <rFont val="Arial"/>
        <family val="2"/>
      </rPr>
      <t xml:space="preserve"> </t>
    </r>
    <r>
      <rPr>
        <sz val="8"/>
        <rFont val="メイリオ"/>
        <family val="3"/>
        <charset val="128"/>
      </rPr>
      <t>　</t>
    </r>
    <r>
      <rPr>
        <sz val="8"/>
        <rFont val="Arial"/>
        <family val="2"/>
      </rPr>
      <t xml:space="preserve"> Unit</t>
    </r>
    <r>
      <rPr>
        <sz val="8"/>
        <rFont val="メイリオ"/>
        <family val="3"/>
        <charset val="128"/>
      </rPr>
      <t>：</t>
    </r>
    <r>
      <rPr>
        <sz val="8"/>
        <rFont val="Arial"/>
        <family val="2"/>
      </rPr>
      <t>No. of Vehicles, %</t>
    </r>
    <r>
      <rPr>
        <sz val="8"/>
        <rFont val="メイリオ"/>
        <family val="3"/>
        <charset val="128"/>
      </rPr>
      <t>）</t>
    </r>
    <rPh sb="1" eb="3">
      <t>タンイ</t>
    </rPh>
    <rPh sb="4" eb="5">
      <t>ダイ</t>
    </rPh>
    <phoneticPr fontId="29"/>
  </si>
  <si>
    <r>
      <rPr>
        <sz val="10"/>
        <rFont val="メイリオ"/>
        <family val="3"/>
        <charset val="128"/>
      </rPr>
      <t>＜グラフ作成用＞</t>
    </r>
    <rPh sb="4" eb="7">
      <t>サクセイヨウ</t>
    </rPh>
    <phoneticPr fontId="29"/>
  </si>
  <si>
    <r>
      <rPr>
        <b/>
        <sz val="11"/>
        <rFont val="メイリオ"/>
        <family val="3"/>
        <charset val="128"/>
      </rPr>
      <t>北海道地区　</t>
    </r>
    <r>
      <rPr>
        <b/>
        <sz val="11"/>
        <rFont val="Arial"/>
        <family val="2"/>
      </rPr>
      <t>Hokkaido</t>
    </r>
    <rPh sb="0" eb="3">
      <t>ホッカイドウ</t>
    </rPh>
    <rPh sb="3" eb="5">
      <t>チク</t>
    </rPh>
    <phoneticPr fontId="29"/>
  </si>
  <si>
    <r>
      <rPr>
        <sz val="10"/>
        <rFont val="メイリオ"/>
        <family val="3"/>
        <charset val="128"/>
      </rPr>
      <t>北海道</t>
    </r>
    <phoneticPr fontId="29"/>
  </si>
  <si>
    <r>
      <rPr>
        <sz val="9"/>
        <rFont val="メイリオ"/>
        <family val="3"/>
        <charset val="128"/>
      </rPr>
      <t>出品台数　</t>
    </r>
    <r>
      <rPr>
        <sz val="9"/>
        <rFont val="Arial"/>
        <family val="2"/>
      </rPr>
      <t>No. of Consigned Vehicles……………………………</t>
    </r>
    <rPh sb="0" eb="2">
      <t>シュッピン</t>
    </rPh>
    <rPh sb="2" eb="4">
      <t>ダイスウ</t>
    </rPh>
    <phoneticPr fontId="29"/>
  </si>
  <si>
    <r>
      <rPr>
        <sz val="10"/>
        <rFont val="メイリオ"/>
        <family val="3"/>
        <charset val="128"/>
      </rPr>
      <t>東北</t>
    </r>
    <rPh sb="0" eb="2">
      <t>トウホク</t>
    </rPh>
    <phoneticPr fontId="29"/>
  </si>
  <si>
    <r>
      <rPr>
        <sz val="10"/>
        <rFont val="メイリオ"/>
        <family val="3"/>
        <charset val="128"/>
      </rPr>
      <t>関東・甲信越</t>
    </r>
    <rPh sb="0" eb="2">
      <t>カントウ</t>
    </rPh>
    <rPh sb="3" eb="6">
      <t>コウシンエツ</t>
    </rPh>
    <phoneticPr fontId="29"/>
  </si>
  <si>
    <r>
      <t>Kanto</t>
    </r>
    <r>
      <rPr>
        <sz val="10"/>
        <rFont val="メイリオ"/>
        <family val="3"/>
        <charset val="128"/>
      </rPr>
      <t>・</t>
    </r>
    <r>
      <rPr>
        <sz val="10"/>
        <rFont val="Arial"/>
        <family val="2"/>
      </rPr>
      <t>Koshinetsu</t>
    </r>
    <phoneticPr fontId="29"/>
  </si>
  <si>
    <r>
      <rPr>
        <sz val="10"/>
        <rFont val="メイリオ"/>
        <family val="3"/>
        <charset val="128"/>
      </rPr>
      <t>中部</t>
    </r>
    <rPh sb="0" eb="2">
      <t>チュウブ</t>
    </rPh>
    <phoneticPr fontId="29"/>
  </si>
  <si>
    <r>
      <rPr>
        <sz val="10"/>
        <rFont val="メイリオ"/>
        <family val="3"/>
        <charset val="128"/>
      </rPr>
      <t>近畿</t>
    </r>
    <rPh sb="0" eb="2">
      <t>キンキ</t>
    </rPh>
    <phoneticPr fontId="29"/>
  </si>
  <si>
    <r>
      <rPr>
        <sz val="10"/>
        <rFont val="メイリオ"/>
        <family val="3"/>
        <charset val="128"/>
      </rPr>
      <t>中国・四国</t>
    </r>
    <rPh sb="0" eb="2">
      <t>チュウゴク</t>
    </rPh>
    <rPh sb="3" eb="5">
      <t>シコク</t>
    </rPh>
    <phoneticPr fontId="29"/>
  </si>
  <si>
    <r>
      <rPr>
        <sz val="10"/>
        <rFont val="メイリオ"/>
        <family val="3"/>
        <charset val="128"/>
      </rPr>
      <t>九州・沖縄</t>
    </r>
    <rPh sb="0" eb="2">
      <t>キュウシュウ</t>
    </rPh>
    <rPh sb="3" eb="5">
      <t>オキナワ</t>
    </rPh>
    <phoneticPr fontId="29"/>
  </si>
  <si>
    <r>
      <t>Kyushu</t>
    </r>
    <r>
      <rPr>
        <sz val="10"/>
        <rFont val="メイリオ"/>
        <family val="3"/>
        <charset val="128"/>
      </rPr>
      <t>・</t>
    </r>
    <r>
      <rPr>
        <sz val="10"/>
        <rFont val="Arial"/>
        <family val="2"/>
      </rPr>
      <t>Okinawa</t>
    </r>
    <phoneticPr fontId="29"/>
  </si>
  <si>
    <r>
      <rPr>
        <sz val="10"/>
        <rFont val="メイリオ"/>
        <family val="3"/>
        <charset val="128"/>
      </rPr>
      <t>※参照資料：</t>
    </r>
    <rPh sb="1" eb="3">
      <t>サンショウ</t>
    </rPh>
    <rPh sb="3" eb="5">
      <t>シリョウ</t>
    </rPh>
    <phoneticPr fontId="17"/>
  </si>
  <si>
    <r>
      <t>F4300US_</t>
    </r>
    <r>
      <rPr>
        <sz val="10"/>
        <rFont val="メイリオ"/>
        <family val="3"/>
        <charset val="128"/>
      </rPr>
      <t>●●</t>
    </r>
    <r>
      <rPr>
        <sz val="10"/>
        <rFont val="Arial"/>
        <family val="2"/>
      </rPr>
      <t>12</t>
    </r>
    <r>
      <rPr>
        <sz val="10"/>
        <rFont val="メイリオ"/>
        <family val="3"/>
        <charset val="128"/>
      </rPr>
      <t>ﾕｰｽﾄｶｰ暦年実績</t>
    </r>
    <r>
      <rPr>
        <sz val="10"/>
        <rFont val="Arial"/>
        <family val="2"/>
      </rPr>
      <t>.xls</t>
    </r>
    <phoneticPr fontId="29"/>
  </si>
  <si>
    <r>
      <t>2021.3</t>
    </r>
    <r>
      <rPr>
        <sz val="12"/>
        <color rgb="FFFF0000"/>
        <rFont val="メイリオ"/>
        <family val="3"/>
        <charset val="128"/>
      </rPr>
      <t>期作成時検討内容：四国の取扱について、岡山に含まれていたけど、</t>
    </r>
    <r>
      <rPr>
        <sz val="12"/>
        <color rgb="FFFF0000"/>
        <rFont val="Arial"/>
        <family val="2"/>
      </rPr>
      <t>HAA</t>
    </r>
    <r>
      <rPr>
        <sz val="12"/>
        <color rgb="FFFF0000"/>
        <rFont val="メイリオ"/>
        <family val="3"/>
        <charset val="128"/>
      </rPr>
      <t>に含むことになったので、地域別で見た時の中国・四国地方が減る。</t>
    </r>
    <rPh sb="6" eb="7">
      <t>キ</t>
    </rPh>
    <rPh sb="7" eb="9">
      <t>サクセイ</t>
    </rPh>
    <rPh sb="9" eb="10">
      <t>ジ</t>
    </rPh>
    <rPh sb="10" eb="12">
      <t>ケントウ</t>
    </rPh>
    <rPh sb="12" eb="14">
      <t>ナイヨウ</t>
    </rPh>
    <rPh sb="15" eb="17">
      <t>シコク</t>
    </rPh>
    <rPh sb="18" eb="20">
      <t>トリアツカイ</t>
    </rPh>
    <rPh sb="25" eb="27">
      <t>オカヤマ</t>
    </rPh>
    <rPh sb="28" eb="29">
      <t>フク</t>
    </rPh>
    <rPh sb="41" eb="42">
      <t>フク</t>
    </rPh>
    <rPh sb="52" eb="54">
      <t>チイキ</t>
    </rPh>
    <rPh sb="54" eb="55">
      <t>ベツ</t>
    </rPh>
    <rPh sb="56" eb="57">
      <t>ミ</t>
    </rPh>
    <rPh sb="58" eb="59">
      <t>トキ</t>
    </rPh>
    <rPh sb="60" eb="62">
      <t>チュウゴク</t>
    </rPh>
    <rPh sb="63" eb="65">
      <t>シコク</t>
    </rPh>
    <rPh sb="65" eb="67">
      <t>チホウ</t>
    </rPh>
    <rPh sb="68" eb="69">
      <t>ヘ</t>
    </rPh>
    <phoneticPr fontId="29"/>
  </si>
  <si>
    <r>
      <t>USS</t>
    </r>
    <r>
      <rPr>
        <b/>
        <sz val="8"/>
        <rFont val="メイリオ"/>
        <family val="3"/>
        <charset val="128"/>
      </rPr>
      <t>札幌　</t>
    </r>
    <r>
      <rPr>
        <b/>
        <sz val="8"/>
        <rFont val="Arial"/>
        <family val="2"/>
      </rPr>
      <t>USS Sapporo</t>
    </r>
    <rPh sb="3" eb="5">
      <t>サッポロ</t>
    </rPh>
    <phoneticPr fontId="29"/>
  </si>
  <si>
    <r>
      <rPr>
        <sz val="9"/>
        <rFont val="メイリオ"/>
        <family val="3"/>
        <charset val="128"/>
      </rPr>
      <t>出品シェア　</t>
    </r>
    <r>
      <rPr>
        <sz val="9"/>
        <rFont val="Arial"/>
        <family val="2"/>
      </rPr>
      <t>No. of Consigned Vehicles Share…………………</t>
    </r>
    <rPh sb="0" eb="2">
      <t>シュッピン</t>
    </rPh>
    <phoneticPr fontId="29"/>
  </si>
  <si>
    <r>
      <t>USS</t>
    </r>
    <r>
      <rPr>
        <b/>
        <sz val="8"/>
        <rFont val="メイリオ"/>
        <family val="3"/>
        <charset val="128"/>
      </rPr>
      <t>東京　</t>
    </r>
    <r>
      <rPr>
        <b/>
        <sz val="8"/>
        <rFont val="Arial"/>
        <family val="2"/>
      </rPr>
      <t>USS Tokyo</t>
    </r>
    <rPh sb="3" eb="5">
      <t>トウキョウ</t>
    </rPh>
    <phoneticPr fontId="29"/>
  </si>
  <si>
    <r>
      <t>USS</t>
    </r>
    <r>
      <rPr>
        <b/>
        <sz val="8"/>
        <rFont val="メイリオ"/>
        <family val="3"/>
        <charset val="128"/>
      </rPr>
      <t>グループ計　</t>
    </r>
    <r>
      <rPr>
        <b/>
        <sz val="8"/>
        <rFont val="Arial"/>
        <family val="2"/>
      </rPr>
      <t>USS Group</t>
    </r>
    <rPh sb="7" eb="8">
      <t>ケイ</t>
    </rPh>
    <phoneticPr fontId="29"/>
  </si>
  <si>
    <r>
      <t>USS</t>
    </r>
    <r>
      <rPr>
        <b/>
        <sz val="8"/>
        <rFont val="メイリオ"/>
        <family val="3"/>
        <charset val="128"/>
      </rPr>
      <t>名古屋　</t>
    </r>
    <r>
      <rPr>
        <b/>
        <sz val="8"/>
        <rFont val="Arial"/>
        <family val="2"/>
      </rPr>
      <t>USS Nagoya</t>
    </r>
    <rPh sb="3" eb="6">
      <t>ナゴヤ</t>
    </rPh>
    <phoneticPr fontId="29"/>
  </si>
  <si>
    <r>
      <t>HAA</t>
    </r>
    <r>
      <rPr>
        <b/>
        <sz val="8"/>
        <rFont val="メイリオ"/>
        <family val="3"/>
        <charset val="128"/>
      </rPr>
      <t>神戸　</t>
    </r>
    <r>
      <rPr>
        <b/>
        <sz val="8"/>
        <rFont val="Arial"/>
        <family val="2"/>
      </rPr>
      <t>HAA Kobe</t>
    </r>
    <rPh sb="3" eb="5">
      <t>コウベ</t>
    </rPh>
    <phoneticPr fontId="29"/>
  </si>
  <si>
    <r>
      <t>JU</t>
    </r>
    <r>
      <rPr>
        <sz val="8"/>
        <rFont val="メイリオ"/>
        <family val="3"/>
        <charset val="128"/>
      </rPr>
      <t>岐阜　</t>
    </r>
    <r>
      <rPr>
        <sz val="8"/>
        <rFont val="Arial"/>
        <family val="2"/>
      </rPr>
      <t>JU Gifu</t>
    </r>
  </si>
  <si>
    <r>
      <t>TAA</t>
    </r>
    <r>
      <rPr>
        <sz val="8"/>
        <rFont val="メイリオ"/>
        <family val="3"/>
        <charset val="128"/>
      </rPr>
      <t>広島　</t>
    </r>
    <r>
      <rPr>
        <sz val="8"/>
        <rFont val="Arial"/>
        <family val="2"/>
      </rPr>
      <t>TAA Hiroshima</t>
    </r>
  </si>
  <si>
    <r>
      <t>USS</t>
    </r>
    <r>
      <rPr>
        <b/>
        <sz val="8"/>
        <rFont val="メイリオ"/>
        <family val="3"/>
        <charset val="128"/>
      </rPr>
      <t>九州　</t>
    </r>
    <r>
      <rPr>
        <b/>
        <sz val="8"/>
        <rFont val="Arial"/>
        <family val="2"/>
      </rPr>
      <t>USS Kyushu</t>
    </r>
    <rPh sb="3" eb="5">
      <t>キュウシュウ</t>
    </rPh>
    <phoneticPr fontId="29"/>
  </si>
  <si>
    <r>
      <t>TAA</t>
    </r>
    <r>
      <rPr>
        <sz val="8"/>
        <rFont val="メイリオ"/>
        <family val="3"/>
        <charset val="128"/>
      </rPr>
      <t>九州　</t>
    </r>
    <r>
      <rPr>
        <sz val="8"/>
        <rFont val="Arial"/>
        <family val="2"/>
      </rPr>
      <t>TAA Kyushu</t>
    </r>
  </si>
  <si>
    <r>
      <rPr>
        <b/>
        <sz val="11"/>
        <rFont val="メイリオ"/>
        <family val="3"/>
        <charset val="128"/>
      </rPr>
      <t>東北地区　</t>
    </r>
    <r>
      <rPr>
        <b/>
        <sz val="11"/>
        <rFont val="Arial"/>
        <family val="2"/>
      </rPr>
      <t>Tohoku</t>
    </r>
    <rPh sb="0" eb="2">
      <t>トウホク</t>
    </rPh>
    <rPh sb="2" eb="4">
      <t>チク</t>
    </rPh>
    <phoneticPr fontId="29"/>
  </si>
  <si>
    <r>
      <rPr>
        <b/>
        <sz val="11"/>
        <rFont val="メイリオ"/>
        <family val="3"/>
        <charset val="128"/>
      </rPr>
      <t>関東・甲信越地区　</t>
    </r>
    <r>
      <rPr>
        <b/>
        <sz val="11"/>
        <rFont val="Arial"/>
        <family val="2"/>
      </rPr>
      <t>Kanto</t>
    </r>
    <r>
      <rPr>
        <b/>
        <sz val="11"/>
        <rFont val="メイリオ"/>
        <family val="3"/>
        <charset val="128"/>
      </rPr>
      <t>・</t>
    </r>
    <r>
      <rPr>
        <b/>
        <sz val="11"/>
        <rFont val="Arial"/>
        <family val="2"/>
      </rPr>
      <t>Koshinetsu</t>
    </r>
    <rPh sb="0" eb="2">
      <t>カントウ</t>
    </rPh>
    <rPh sb="3" eb="6">
      <t>コウシンエツ</t>
    </rPh>
    <rPh sb="6" eb="8">
      <t>チク</t>
    </rPh>
    <phoneticPr fontId="29"/>
  </si>
  <si>
    <r>
      <rPr>
        <b/>
        <sz val="11"/>
        <rFont val="メイリオ"/>
        <family val="3"/>
        <charset val="128"/>
      </rPr>
      <t>中部地区　</t>
    </r>
    <r>
      <rPr>
        <b/>
        <sz val="11"/>
        <rFont val="Arial"/>
        <family val="2"/>
      </rPr>
      <t>Chubu</t>
    </r>
    <rPh sb="0" eb="2">
      <t>チュウブ</t>
    </rPh>
    <rPh sb="2" eb="4">
      <t>チク</t>
    </rPh>
    <phoneticPr fontId="29"/>
  </si>
  <si>
    <r>
      <rPr>
        <b/>
        <sz val="11"/>
        <rFont val="メイリオ"/>
        <family val="3"/>
        <charset val="128"/>
      </rPr>
      <t>近畿地区　</t>
    </r>
    <r>
      <rPr>
        <b/>
        <sz val="11"/>
        <rFont val="Arial"/>
        <family val="2"/>
      </rPr>
      <t>Kinki</t>
    </r>
    <rPh sb="0" eb="2">
      <t>キンキ</t>
    </rPh>
    <rPh sb="2" eb="4">
      <t>チク</t>
    </rPh>
    <phoneticPr fontId="29"/>
  </si>
  <si>
    <r>
      <rPr>
        <b/>
        <sz val="11"/>
        <rFont val="メイリオ"/>
        <family val="3"/>
        <charset val="128"/>
      </rPr>
      <t>中国・四国地区　</t>
    </r>
    <r>
      <rPr>
        <b/>
        <sz val="11"/>
        <rFont val="Arial"/>
        <family val="2"/>
      </rPr>
      <t>Chugoku</t>
    </r>
    <r>
      <rPr>
        <b/>
        <sz val="11"/>
        <rFont val="メイリオ"/>
        <family val="3"/>
        <charset val="128"/>
      </rPr>
      <t>・</t>
    </r>
    <r>
      <rPr>
        <b/>
        <sz val="11"/>
        <rFont val="Arial"/>
        <family val="2"/>
      </rPr>
      <t>Shikoku</t>
    </r>
    <rPh sb="0" eb="1">
      <t>チュウ</t>
    </rPh>
    <rPh sb="1" eb="2">
      <t>クニ</t>
    </rPh>
    <rPh sb="3" eb="5">
      <t>シコク</t>
    </rPh>
    <rPh sb="5" eb="7">
      <t>チク</t>
    </rPh>
    <phoneticPr fontId="29"/>
  </si>
  <si>
    <r>
      <rPr>
        <b/>
        <sz val="11"/>
        <rFont val="メイリオ"/>
        <family val="3"/>
        <charset val="128"/>
      </rPr>
      <t>九州・沖縄地区　</t>
    </r>
    <r>
      <rPr>
        <b/>
        <sz val="11"/>
        <rFont val="Arial"/>
        <family val="2"/>
      </rPr>
      <t>Kyushu</t>
    </r>
    <r>
      <rPr>
        <b/>
        <sz val="11"/>
        <rFont val="メイリオ"/>
        <family val="3"/>
        <charset val="128"/>
      </rPr>
      <t>・</t>
    </r>
    <r>
      <rPr>
        <b/>
        <sz val="11"/>
        <rFont val="Arial"/>
        <family val="2"/>
      </rPr>
      <t>Okinawa</t>
    </r>
    <rPh sb="0" eb="2">
      <t>キュウシュウ</t>
    </rPh>
    <rPh sb="3" eb="5">
      <t>オキナワ</t>
    </rPh>
    <rPh sb="5" eb="7">
      <t>チク</t>
    </rPh>
    <phoneticPr fontId="29"/>
  </si>
  <si>
    <r>
      <t>USS</t>
    </r>
    <r>
      <rPr>
        <b/>
        <sz val="8"/>
        <rFont val="メイリオ"/>
        <family val="3"/>
        <charset val="128"/>
      </rPr>
      <t>東北　</t>
    </r>
    <r>
      <rPr>
        <b/>
        <sz val="8"/>
        <rFont val="Arial"/>
        <family val="2"/>
      </rPr>
      <t>USS Tohoku</t>
    </r>
    <rPh sb="3" eb="5">
      <t>トウホク</t>
    </rPh>
    <phoneticPr fontId="29"/>
  </si>
  <si>
    <r>
      <t>USS</t>
    </r>
    <r>
      <rPr>
        <b/>
        <sz val="8"/>
        <rFont val="メイリオ"/>
        <family val="3"/>
        <charset val="128"/>
      </rPr>
      <t>大阪　</t>
    </r>
    <r>
      <rPr>
        <b/>
        <sz val="8"/>
        <rFont val="Arial"/>
        <family val="2"/>
      </rPr>
      <t>USS Osaka</t>
    </r>
    <rPh sb="3" eb="5">
      <t>オオサカ</t>
    </rPh>
    <phoneticPr fontId="29"/>
  </si>
  <si>
    <r>
      <t>LAA</t>
    </r>
    <r>
      <rPr>
        <sz val="8"/>
        <rFont val="メイリオ"/>
        <family val="3"/>
        <charset val="128"/>
      </rPr>
      <t>岡山　</t>
    </r>
    <r>
      <rPr>
        <sz val="8"/>
        <rFont val="Arial"/>
        <family val="2"/>
      </rPr>
      <t>LAA Okayama</t>
    </r>
    <rPh sb="3" eb="5">
      <t>オカヤマ</t>
    </rPh>
    <phoneticPr fontId="29"/>
  </si>
  <si>
    <r>
      <t>USS</t>
    </r>
    <r>
      <rPr>
        <b/>
        <sz val="8"/>
        <rFont val="メイリオ"/>
        <family val="3"/>
        <charset val="128"/>
      </rPr>
      <t>岡山　</t>
    </r>
    <r>
      <rPr>
        <b/>
        <sz val="8"/>
        <rFont val="Arial"/>
        <family val="2"/>
      </rPr>
      <t>USS Okayama</t>
    </r>
    <rPh sb="3" eb="5">
      <t>オカヤマ</t>
    </rPh>
    <phoneticPr fontId="29"/>
  </si>
  <si>
    <r>
      <rPr>
        <sz val="10"/>
        <rFont val="メイリオ"/>
        <family val="3"/>
        <charset val="128"/>
      </rPr>
      <t>　■</t>
    </r>
    <r>
      <rPr>
        <sz val="10"/>
        <rFont val="Arial"/>
        <family val="2"/>
      </rPr>
      <t>2017</t>
    </r>
    <r>
      <rPr>
        <sz val="10"/>
        <rFont val="メイリオ"/>
        <family val="3"/>
        <charset val="128"/>
      </rPr>
      <t>年の企業系について、紙面発表後ユーストカーから成約台数の訂正が通知されたため、修正後のデータを使用する。</t>
    </r>
    <rPh sb="6" eb="7">
      <t>ネン</t>
    </rPh>
    <rPh sb="8" eb="10">
      <t>キギョウ</t>
    </rPh>
    <rPh sb="10" eb="11">
      <t>ケイ</t>
    </rPh>
    <rPh sb="16" eb="18">
      <t>シメン</t>
    </rPh>
    <rPh sb="18" eb="20">
      <t>ハッピョウ</t>
    </rPh>
    <rPh sb="20" eb="21">
      <t>ゴ</t>
    </rPh>
    <rPh sb="29" eb="31">
      <t>セイヤク</t>
    </rPh>
    <rPh sb="31" eb="33">
      <t>ダイスウ</t>
    </rPh>
    <rPh sb="34" eb="36">
      <t>テイセイ</t>
    </rPh>
    <rPh sb="37" eb="39">
      <t>ツウチ</t>
    </rPh>
    <rPh sb="45" eb="47">
      <t>シュウセイ</t>
    </rPh>
    <rPh sb="47" eb="48">
      <t>ゴ</t>
    </rPh>
    <rPh sb="53" eb="55">
      <t>シヨウ</t>
    </rPh>
    <phoneticPr fontId="17"/>
  </si>
  <si>
    <r>
      <rPr>
        <sz val="10"/>
        <rFont val="メイリオ"/>
        <family val="3"/>
        <charset val="128"/>
      </rPr>
      <t>　対象会場　　　修正前　　　　　修正後</t>
    </r>
    <rPh sb="1" eb="3">
      <t>タイショウ</t>
    </rPh>
    <rPh sb="3" eb="5">
      <t>カイジョウ</t>
    </rPh>
    <rPh sb="8" eb="10">
      <t>シュウセイ</t>
    </rPh>
    <rPh sb="10" eb="11">
      <t>マエ</t>
    </rPh>
    <rPh sb="16" eb="18">
      <t>シュウセイ</t>
    </rPh>
    <rPh sb="18" eb="19">
      <t>ゴ</t>
    </rPh>
    <phoneticPr fontId="29"/>
  </si>
  <si>
    <r>
      <rPr>
        <sz val="10"/>
        <rFont val="メイリオ"/>
        <family val="3"/>
        <charset val="128"/>
      </rPr>
      <t>　</t>
    </r>
    <r>
      <rPr>
        <sz val="10"/>
        <rFont val="Arial"/>
        <family val="2"/>
      </rPr>
      <t>CAA</t>
    </r>
    <r>
      <rPr>
        <sz val="10"/>
        <rFont val="メイリオ"/>
        <family val="3"/>
        <charset val="128"/>
      </rPr>
      <t>東北　　　</t>
    </r>
    <r>
      <rPr>
        <sz val="10"/>
        <rFont val="Arial"/>
        <family val="2"/>
      </rPr>
      <t>19,387</t>
    </r>
    <r>
      <rPr>
        <sz val="10"/>
        <rFont val="メイリオ"/>
        <family val="3"/>
        <charset val="128"/>
      </rPr>
      <t>台　　　　</t>
    </r>
    <r>
      <rPr>
        <sz val="10"/>
        <rFont val="Arial"/>
        <family val="2"/>
      </rPr>
      <t>19,423</t>
    </r>
    <r>
      <rPr>
        <sz val="10"/>
        <rFont val="メイリオ"/>
        <family val="3"/>
        <charset val="128"/>
      </rPr>
      <t>台</t>
    </r>
    <rPh sb="4" eb="6">
      <t>トウホク</t>
    </rPh>
    <rPh sb="15" eb="16">
      <t>ダイ</t>
    </rPh>
    <rPh sb="26" eb="27">
      <t>ダイ</t>
    </rPh>
    <phoneticPr fontId="29"/>
  </si>
  <si>
    <r>
      <rPr>
        <sz val="10"/>
        <rFont val="メイリオ"/>
        <family val="3"/>
        <charset val="128"/>
      </rPr>
      <t>　</t>
    </r>
    <r>
      <rPr>
        <sz val="10"/>
        <rFont val="Arial"/>
        <family val="2"/>
      </rPr>
      <t>CAA</t>
    </r>
    <r>
      <rPr>
        <sz val="10"/>
        <rFont val="メイリオ"/>
        <family val="3"/>
        <charset val="128"/>
      </rPr>
      <t>東京　　　</t>
    </r>
    <r>
      <rPr>
        <sz val="10"/>
        <rFont val="Arial"/>
        <family val="2"/>
      </rPr>
      <t>60,712</t>
    </r>
    <r>
      <rPr>
        <sz val="10"/>
        <rFont val="メイリオ"/>
        <family val="3"/>
        <charset val="128"/>
      </rPr>
      <t>台　　　　</t>
    </r>
    <r>
      <rPr>
        <sz val="10"/>
        <rFont val="Arial"/>
        <family val="2"/>
      </rPr>
      <t>60,663</t>
    </r>
    <r>
      <rPr>
        <sz val="10"/>
        <rFont val="メイリオ"/>
        <family val="3"/>
        <charset val="128"/>
      </rPr>
      <t>台</t>
    </r>
    <rPh sb="4" eb="6">
      <t>トウキョウ</t>
    </rPh>
    <rPh sb="15" eb="16">
      <t>ダイ</t>
    </rPh>
    <rPh sb="26" eb="27">
      <t>ダイ</t>
    </rPh>
    <phoneticPr fontId="29"/>
  </si>
  <si>
    <r>
      <rPr>
        <sz val="10"/>
        <rFont val="メイリオ"/>
        <family val="3"/>
        <charset val="128"/>
      </rPr>
      <t>　</t>
    </r>
    <r>
      <rPr>
        <sz val="10"/>
        <rFont val="Arial"/>
        <family val="2"/>
      </rPr>
      <t>CAA</t>
    </r>
    <r>
      <rPr>
        <sz val="10"/>
        <rFont val="メイリオ"/>
        <family val="3"/>
        <charset val="128"/>
      </rPr>
      <t>中部　　</t>
    </r>
    <r>
      <rPr>
        <sz val="10"/>
        <rFont val="Arial"/>
        <family val="2"/>
      </rPr>
      <t xml:space="preserve"> 129,846</t>
    </r>
    <r>
      <rPr>
        <sz val="10"/>
        <rFont val="メイリオ"/>
        <family val="3"/>
        <charset val="128"/>
      </rPr>
      <t>台　　　</t>
    </r>
    <r>
      <rPr>
        <sz val="10"/>
        <rFont val="Arial"/>
        <family val="2"/>
      </rPr>
      <t xml:space="preserve"> 129,815</t>
    </r>
    <r>
      <rPr>
        <sz val="10"/>
        <rFont val="メイリオ"/>
        <family val="3"/>
        <charset val="128"/>
      </rPr>
      <t>台</t>
    </r>
    <rPh sb="4" eb="6">
      <t>チュウブ</t>
    </rPh>
    <rPh sb="16" eb="17">
      <t>ダイ</t>
    </rPh>
    <rPh sb="24" eb="29">
      <t>８１５ダイ</t>
    </rPh>
    <phoneticPr fontId="29"/>
  </si>
  <si>
    <r>
      <rPr>
        <sz val="10"/>
        <rFont val="メイリオ"/>
        <family val="3"/>
        <charset val="128"/>
      </rPr>
      <t>　</t>
    </r>
    <r>
      <rPr>
        <sz val="10"/>
        <rFont val="Arial"/>
        <family val="2"/>
      </rPr>
      <t>CAA</t>
    </r>
    <r>
      <rPr>
        <sz val="10"/>
        <rFont val="メイリオ"/>
        <family val="3"/>
        <charset val="128"/>
      </rPr>
      <t>岐阜　　　</t>
    </r>
    <r>
      <rPr>
        <sz val="10"/>
        <rFont val="Arial"/>
        <family val="2"/>
      </rPr>
      <t>45,821</t>
    </r>
    <r>
      <rPr>
        <sz val="10"/>
        <rFont val="メイリオ"/>
        <family val="3"/>
        <charset val="128"/>
      </rPr>
      <t>台　　　　</t>
    </r>
    <r>
      <rPr>
        <sz val="10"/>
        <rFont val="Arial"/>
        <family val="2"/>
      </rPr>
      <t>45,748</t>
    </r>
    <r>
      <rPr>
        <sz val="10"/>
        <rFont val="メイリオ"/>
        <family val="3"/>
        <charset val="128"/>
      </rPr>
      <t>台</t>
    </r>
    <rPh sb="4" eb="6">
      <t>ギフ</t>
    </rPh>
    <rPh sb="11" eb="16">
      <t>８２１ダイ</t>
    </rPh>
    <rPh sb="22" eb="27">
      <t>７４８ダイ</t>
    </rPh>
    <phoneticPr fontId="29"/>
  </si>
  <si>
    <r>
      <rPr>
        <sz val="10"/>
        <rFont val="メイリオ"/>
        <family val="3"/>
        <charset val="128"/>
      </rPr>
      <t>企業系合計　</t>
    </r>
    <r>
      <rPr>
        <sz val="10"/>
        <rFont val="Arial"/>
        <family val="2"/>
      </rPr>
      <t>2,949,715</t>
    </r>
    <r>
      <rPr>
        <sz val="10"/>
        <rFont val="メイリオ"/>
        <family val="3"/>
        <charset val="128"/>
      </rPr>
      <t>台　</t>
    </r>
    <r>
      <rPr>
        <sz val="10"/>
        <rFont val="Arial"/>
        <family val="2"/>
      </rPr>
      <t xml:space="preserve"> </t>
    </r>
    <r>
      <rPr>
        <sz val="10"/>
        <rFont val="メイリオ"/>
        <family val="3"/>
        <charset val="128"/>
      </rPr>
      <t>　</t>
    </r>
    <r>
      <rPr>
        <sz val="10"/>
        <rFont val="Arial"/>
        <family val="2"/>
      </rPr>
      <t>2,949,598</t>
    </r>
    <r>
      <rPr>
        <sz val="10"/>
        <rFont val="メイリオ"/>
        <family val="3"/>
        <charset val="128"/>
      </rPr>
      <t>台</t>
    </r>
    <rPh sb="0" eb="2">
      <t>キギョウ</t>
    </rPh>
    <rPh sb="2" eb="3">
      <t>ケイ</t>
    </rPh>
    <rPh sb="3" eb="5">
      <t>ゴウケイ</t>
    </rPh>
    <rPh sb="7" eb="16">
      <t>９４９７１５ダイ</t>
    </rPh>
    <rPh sb="20" eb="29">
      <t>９４９５９８ダイ</t>
    </rPh>
    <phoneticPr fontId="29"/>
  </si>
  <si>
    <r>
      <rPr>
        <sz val="10"/>
        <rFont val="メイリオ"/>
        <family val="3"/>
        <charset val="128"/>
      </rPr>
      <t>　■</t>
    </r>
    <r>
      <rPr>
        <sz val="10"/>
        <rFont val="Arial"/>
        <family val="2"/>
      </rPr>
      <t>1</t>
    </r>
    <r>
      <rPr>
        <sz val="10"/>
        <rFont val="メイリオ"/>
        <family val="3"/>
        <charset val="128"/>
      </rPr>
      <t>台あたり平均成約金額→暦年ﾗﾝｷﾝｸﾞｼｰﾄ「平均額（千円）」の欄　</t>
    </r>
    <r>
      <rPr>
        <sz val="10"/>
        <rFont val="Arial"/>
        <family val="2"/>
      </rPr>
      <t>2021.1</t>
    </r>
    <rPh sb="3" eb="4">
      <t>ダイ</t>
    </rPh>
    <rPh sb="7" eb="9">
      <t>ヘイキン</t>
    </rPh>
    <rPh sb="9" eb="11">
      <t>セイヤク</t>
    </rPh>
    <rPh sb="11" eb="13">
      <t>キンガク</t>
    </rPh>
    <rPh sb="14" eb="16">
      <t>レキネン</t>
    </rPh>
    <rPh sb="26" eb="28">
      <t>ヘイキン</t>
    </rPh>
    <rPh sb="28" eb="29">
      <t>ガク</t>
    </rPh>
    <rPh sb="30" eb="32">
      <t>センエン</t>
    </rPh>
    <rPh sb="35" eb="36">
      <t>ラン</t>
    </rPh>
    <phoneticPr fontId="29"/>
  </si>
  <si>
    <r>
      <rPr>
        <sz val="10"/>
        <rFont val="メイリオ"/>
        <family val="3"/>
        <charset val="128"/>
      </rPr>
      <t>　■コメント追加　（</t>
    </r>
    <r>
      <rPr>
        <sz val="10"/>
        <rFont val="Arial"/>
        <family val="2"/>
      </rPr>
      <t>2021.1</t>
    </r>
    <r>
      <rPr>
        <sz val="10"/>
        <rFont val="メイリオ"/>
        <family val="3"/>
        <charset val="128"/>
      </rPr>
      <t>）</t>
    </r>
    <r>
      <rPr>
        <sz val="10"/>
        <rFont val="Arial"/>
        <family val="2"/>
      </rPr>
      <t>2020</t>
    </r>
    <r>
      <rPr>
        <sz val="10"/>
        <rFont val="メイリオ"/>
        <family val="3"/>
        <charset val="128"/>
      </rPr>
      <t>年の記載がなくなる、</t>
    </r>
    <r>
      <rPr>
        <sz val="10"/>
        <rFont val="Arial"/>
        <family val="2"/>
      </rPr>
      <t>2022</t>
    </r>
    <r>
      <rPr>
        <sz val="10"/>
        <rFont val="メイリオ"/>
        <family val="3"/>
        <charset val="128"/>
      </rPr>
      <t>年暦年を作成時に削除</t>
    </r>
    <rPh sb="6" eb="8">
      <t>ツイカ</t>
    </rPh>
    <rPh sb="21" eb="22">
      <t>ネン</t>
    </rPh>
    <rPh sb="23" eb="25">
      <t>キサイ</t>
    </rPh>
    <rPh sb="35" eb="36">
      <t>ネン</t>
    </rPh>
    <rPh sb="36" eb="38">
      <t>レキネン</t>
    </rPh>
    <rPh sb="39" eb="41">
      <t>サクセイ</t>
    </rPh>
    <rPh sb="41" eb="42">
      <t>ジ</t>
    </rPh>
    <rPh sb="43" eb="45">
      <t>サクジョ</t>
    </rPh>
    <phoneticPr fontId="29"/>
  </si>
  <si>
    <r>
      <rPr>
        <sz val="10"/>
        <rFont val="メイリオ"/>
        <family val="3"/>
        <charset val="128"/>
      </rPr>
      <t>　「※四国会場の実績は</t>
    </r>
    <r>
      <rPr>
        <sz val="10"/>
        <rFont val="Arial"/>
        <family val="2"/>
      </rPr>
      <t>2019</t>
    </r>
    <r>
      <rPr>
        <sz val="10"/>
        <rFont val="メイリオ"/>
        <family val="3"/>
        <charset val="128"/>
      </rPr>
      <t>年</t>
    </r>
    <r>
      <rPr>
        <sz val="10"/>
        <rFont val="Arial"/>
        <family val="2"/>
      </rPr>
      <t>12</t>
    </r>
    <r>
      <rPr>
        <sz val="10"/>
        <rFont val="メイリオ"/>
        <family val="3"/>
        <charset val="128"/>
      </rPr>
      <t>月までは岡山会場、</t>
    </r>
    <r>
      <rPr>
        <sz val="10"/>
        <rFont val="Arial"/>
        <family val="2"/>
      </rPr>
      <t>2020</t>
    </r>
    <r>
      <rPr>
        <sz val="10"/>
        <rFont val="メイリオ"/>
        <family val="3"/>
        <charset val="128"/>
      </rPr>
      <t>年</t>
    </r>
    <r>
      <rPr>
        <sz val="10"/>
        <rFont val="Arial"/>
        <family val="2"/>
      </rPr>
      <t>1</t>
    </r>
    <r>
      <rPr>
        <sz val="10"/>
        <rFont val="メイリオ"/>
        <family val="3"/>
        <charset val="128"/>
      </rPr>
      <t>月以降は</t>
    </r>
    <r>
      <rPr>
        <sz val="10"/>
        <rFont val="Arial"/>
        <family val="2"/>
      </rPr>
      <t>HAA</t>
    </r>
    <r>
      <rPr>
        <sz val="10"/>
        <rFont val="メイリオ"/>
        <family val="3"/>
        <charset val="128"/>
      </rPr>
      <t>神戸会場に含めております。」</t>
    </r>
    <phoneticPr fontId="29"/>
  </si>
  <si>
    <r>
      <rPr>
        <sz val="10"/>
        <rFont val="メイリオ"/>
        <family val="3"/>
        <charset val="128"/>
      </rPr>
      <t>　</t>
    </r>
    <r>
      <rPr>
        <sz val="10"/>
        <rFont val="Arial"/>
        <family val="2"/>
      </rPr>
      <t>F4300US_</t>
    </r>
    <r>
      <rPr>
        <sz val="10"/>
        <rFont val="メイリオ"/>
        <family val="3"/>
        <charset val="128"/>
      </rPr>
      <t>●●</t>
    </r>
    <r>
      <rPr>
        <sz val="10"/>
        <rFont val="Arial"/>
        <family val="2"/>
      </rPr>
      <t>12</t>
    </r>
    <r>
      <rPr>
        <sz val="10"/>
        <rFont val="メイリオ"/>
        <family val="3"/>
        <charset val="128"/>
      </rPr>
      <t>ﾕｰｽﾄｶｰ暦年実績</t>
    </r>
    <r>
      <rPr>
        <sz val="10"/>
        <rFont val="Arial"/>
        <family val="2"/>
      </rPr>
      <t>.xls</t>
    </r>
    <phoneticPr fontId="29"/>
  </si>
  <si>
    <r>
      <rPr>
        <sz val="9"/>
        <rFont val="Arial"/>
        <family val="2"/>
      </rPr>
      <t xml:space="preserve"> </t>
    </r>
    <r>
      <rPr>
        <sz val="9"/>
        <rFont val="メイリオ"/>
        <family val="3"/>
        <charset val="128"/>
      </rPr>
      <t>業界合計</t>
    </r>
    <r>
      <rPr>
        <sz val="10"/>
        <rFont val="メイリオ"/>
        <family val="3"/>
        <charset val="128"/>
      </rPr>
      <t>　</t>
    </r>
    <r>
      <rPr>
        <sz val="9"/>
        <rFont val="Arial"/>
        <family val="2"/>
      </rPr>
      <t xml:space="preserve"> Industry Total</t>
    </r>
    <phoneticPr fontId="17"/>
  </si>
  <si>
    <r>
      <rPr>
        <sz val="5"/>
        <color theme="0"/>
        <rFont val="メイリオ"/>
        <family val="3"/>
        <charset val="128"/>
      </rPr>
      <t xml:space="preserve">シェア
</t>
    </r>
    <r>
      <rPr>
        <sz val="5"/>
        <color theme="0"/>
        <rFont val="Arial"/>
        <family val="2"/>
      </rPr>
      <t xml:space="preserve">Share 
in the </t>
    </r>
    <r>
      <rPr>
        <sz val="5"/>
        <color theme="0"/>
        <rFont val="メイリオ"/>
        <family val="3"/>
        <charset val="128"/>
      </rPr>
      <t>Ａ</t>
    </r>
    <r>
      <rPr>
        <sz val="5"/>
        <color theme="0"/>
        <rFont val="Arial"/>
        <family val="2"/>
      </rPr>
      <t>rea</t>
    </r>
  </si>
  <si>
    <r>
      <t>USS</t>
    </r>
    <r>
      <rPr>
        <b/>
        <sz val="8"/>
        <rFont val="メイリオ"/>
        <family val="3"/>
        <charset val="128"/>
      </rPr>
      <t>横浜　</t>
    </r>
    <r>
      <rPr>
        <b/>
        <sz val="8"/>
        <rFont val="Arial"/>
        <family val="2"/>
      </rPr>
      <t>USS Yokohama</t>
    </r>
    <rPh sb="3" eb="5">
      <t>ヨコハマ</t>
    </rPh>
    <phoneticPr fontId="29"/>
  </si>
  <si>
    <r>
      <rPr>
        <sz val="10"/>
        <rFont val="ＭＳ Ｐゴシック"/>
        <family val="3"/>
        <charset val="128"/>
      </rPr>
      <t xml:space="preserve">二輪車販売台数
</t>
    </r>
    <r>
      <rPr>
        <sz val="10"/>
        <rFont val="Arial"/>
        <family val="2"/>
      </rPr>
      <t>No.of motorcycles for sale</t>
    </r>
    <rPh sb="0" eb="3">
      <t>ニリンシャ</t>
    </rPh>
    <rPh sb="3" eb="5">
      <t>ハンバイ</t>
    </rPh>
    <rPh sb="5" eb="7">
      <t>ダイスウ</t>
    </rPh>
    <phoneticPr fontId="17"/>
  </si>
  <si>
    <r>
      <rPr>
        <sz val="10"/>
        <rFont val="ＭＳ Ｐゴシック"/>
        <family val="3"/>
        <charset val="128"/>
      </rPr>
      <t>増減率</t>
    </r>
    <phoneticPr fontId="17"/>
  </si>
  <si>
    <r>
      <t>(</t>
    </r>
    <r>
      <rPr>
        <sz val="6"/>
        <rFont val="メイリオ"/>
        <family val="3"/>
        <charset val="128"/>
      </rPr>
      <t>出所：</t>
    </r>
    <r>
      <rPr>
        <sz val="6"/>
        <rFont val="Arial"/>
        <family val="2"/>
      </rPr>
      <t>(</t>
    </r>
    <r>
      <rPr>
        <sz val="6"/>
        <rFont val="メイリオ"/>
        <family val="3"/>
        <charset val="128"/>
      </rPr>
      <t>一社</t>
    </r>
    <r>
      <rPr>
        <sz val="6"/>
        <rFont val="Arial"/>
        <family val="2"/>
      </rPr>
      <t>)</t>
    </r>
    <r>
      <rPr>
        <sz val="6"/>
        <rFont val="メイリオ"/>
        <family val="3"/>
        <charset val="128"/>
      </rPr>
      <t>日本自動車工業会、</t>
    </r>
    <r>
      <rPr>
        <sz val="6"/>
        <rFont val="Arial"/>
        <family val="2"/>
      </rPr>
      <t>(</t>
    </r>
    <r>
      <rPr>
        <sz val="6"/>
        <rFont val="メイリオ"/>
        <family val="3"/>
        <charset val="128"/>
      </rPr>
      <t>一社</t>
    </r>
    <r>
      <rPr>
        <sz val="6"/>
        <rFont val="Arial"/>
        <family val="2"/>
      </rPr>
      <t>)</t>
    </r>
    <r>
      <rPr>
        <sz val="6"/>
        <rFont val="メイリオ"/>
        <family val="3"/>
        <charset val="128"/>
      </rPr>
      <t>全国軽自動車協会連合会</t>
    </r>
    <r>
      <rPr>
        <sz val="6"/>
        <rFont val="Arial"/>
        <family val="2"/>
      </rPr>
      <t>)</t>
    </r>
    <phoneticPr fontId="17"/>
  </si>
  <si>
    <r>
      <rPr>
        <sz val="10"/>
        <rFont val="ＭＳ ゴシック"/>
        <family val="3"/>
        <charset val="128"/>
      </rPr>
      <t>※二輪車販売台数の内訳は、原付一種と原付二種の出荷台数</t>
    </r>
    <r>
      <rPr>
        <sz val="10"/>
        <rFont val="Arial"/>
        <family val="2"/>
      </rPr>
      <t>(</t>
    </r>
    <r>
      <rPr>
        <sz val="10"/>
        <rFont val="ＭＳ ゴシック"/>
        <family val="3"/>
        <charset val="128"/>
      </rPr>
      <t>出所</t>
    </r>
    <r>
      <rPr>
        <sz val="10"/>
        <rFont val="Arial"/>
        <family val="2"/>
      </rPr>
      <t>:(</t>
    </r>
    <r>
      <rPr>
        <sz val="10"/>
        <rFont val="ＭＳ ゴシック"/>
        <family val="3"/>
        <charset val="128"/>
      </rPr>
      <t>一社</t>
    </r>
    <r>
      <rPr>
        <sz val="10"/>
        <rFont val="Arial"/>
        <family val="2"/>
      </rPr>
      <t>)</t>
    </r>
    <r>
      <rPr>
        <sz val="10"/>
        <rFont val="ＭＳ ゴシック"/>
        <family val="3"/>
        <charset val="128"/>
      </rPr>
      <t>日本自動車工業会</t>
    </r>
    <r>
      <rPr>
        <sz val="10"/>
        <rFont val="Arial"/>
        <family val="2"/>
      </rPr>
      <t>)</t>
    </r>
    <r>
      <rPr>
        <sz val="10"/>
        <rFont val="ＭＳ ゴシック"/>
        <family val="3"/>
        <charset val="128"/>
      </rPr>
      <t>、および軽二輪･小型二輪の販売台数</t>
    </r>
    <r>
      <rPr>
        <sz val="10"/>
        <rFont val="Arial"/>
        <family val="2"/>
      </rPr>
      <t>(</t>
    </r>
    <r>
      <rPr>
        <sz val="10"/>
        <rFont val="ＭＳ ゴシック"/>
        <family val="3"/>
        <charset val="128"/>
      </rPr>
      <t>出所</t>
    </r>
    <r>
      <rPr>
        <sz val="10"/>
        <rFont val="Arial"/>
        <family val="2"/>
      </rPr>
      <t>:(</t>
    </r>
    <r>
      <rPr>
        <sz val="10"/>
        <rFont val="ＭＳ ゴシック"/>
        <family val="3"/>
        <charset val="128"/>
      </rPr>
      <t>一社</t>
    </r>
    <r>
      <rPr>
        <sz val="10"/>
        <rFont val="Arial"/>
        <family val="2"/>
      </rPr>
      <t>)</t>
    </r>
    <r>
      <rPr>
        <sz val="10"/>
        <rFont val="ＭＳ ゴシック"/>
        <family val="3"/>
        <charset val="128"/>
      </rPr>
      <t>全国軽自動車協会連合会</t>
    </r>
    <r>
      <rPr>
        <sz val="10"/>
        <rFont val="Arial"/>
        <family val="2"/>
      </rPr>
      <t>)</t>
    </r>
    <r>
      <rPr>
        <sz val="10"/>
        <rFont val="ＭＳ ゴシック"/>
        <family val="3"/>
        <charset val="128"/>
      </rPr>
      <t>。</t>
    </r>
    <r>
      <rPr>
        <sz val="10"/>
        <rFont val="Arial"/>
        <family val="2"/>
      </rPr>
      <t>(</t>
    </r>
    <r>
      <rPr>
        <sz val="10"/>
        <rFont val="ＭＳ ゴシック"/>
        <family val="3"/>
        <charset val="128"/>
      </rPr>
      <t>※</t>
    </r>
    <r>
      <rPr>
        <sz val="10"/>
        <rFont val="Arial"/>
        <family val="2"/>
      </rPr>
      <t>1</t>
    </r>
    <r>
      <rPr>
        <sz val="10"/>
        <rFont val="ＭＳ ゴシック"/>
        <family val="3"/>
        <charset val="128"/>
      </rPr>
      <t>月末に取得可能</t>
    </r>
    <r>
      <rPr>
        <sz val="10"/>
        <rFont val="Arial"/>
        <family val="2"/>
      </rPr>
      <t>)</t>
    </r>
    <rPh sb="1" eb="4">
      <t>ニリンシャ</t>
    </rPh>
    <rPh sb="4" eb="6">
      <t>ハンバイ</t>
    </rPh>
    <rPh sb="6" eb="8">
      <t>ダイスウ</t>
    </rPh>
    <rPh sb="9" eb="11">
      <t>ウチワケ</t>
    </rPh>
    <rPh sb="13" eb="15">
      <t>ゲンツキ</t>
    </rPh>
    <rPh sb="15" eb="17">
      <t>イッシュ</t>
    </rPh>
    <rPh sb="18" eb="20">
      <t>ゲンツキ</t>
    </rPh>
    <rPh sb="20" eb="22">
      <t>ニシュ</t>
    </rPh>
    <rPh sb="23" eb="25">
      <t>シュッカ</t>
    </rPh>
    <rPh sb="25" eb="27">
      <t>ダイスウ</t>
    </rPh>
    <rPh sb="28" eb="30">
      <t>シュッショ</t>
    </rPh>
    <rPh sb="32" eb="34">
      <t>イッシャ</t>
    </rPh>
    <rPh sb="35" eb="37">
      <t>ニホン</t>
    </rPh>
    <rPh sb="37" eb="40">
      <t>ジドウシャ</t>
    </rPh>
    <rPh sb="40" eb="42">
      <t>コウギョウ</t>
    </rPh>
    <rPh sb="42" eb="43">
      <t>カイ</t>
    </rPh>
    <rPh sb="48" eb="49">
      <t>ケイ</t>
    </rPh>
    <rPh sb="49" eb="51">
      <t>ニリン</t>
    </rPh>
    <rPh sb="52" eb="54">
      <t>コガタ</t>
    </rPh>
    <rPh sb="54" eb="56">
      <t>ニリン</t>
    </rPh>
    <rPh sb="57" eb="59">
      <t>ハンバイ</t>
    </rPh>
    <rPh sb="59" eb="61">
      <t>ダイスウ</t>
    </rPh>
    <rPh sb="62" eb="64">
      <t>シュッショ</t>
    </rPh>
    <rPh sb="66" eb="68">
      <t>イッシャ</t>
    </rPh>
    <rPh sb="69" eb="71">
      <t>ゼンコク</t>
    </rPh>
    <rPh sb="71" eb="75">
      <t>ケイジドウシャ</t>
    </rPh>
    <rPh sb="75" eb="77">
      <t>キョウカイ</t>
    </rPh>
    <rPh sb="77" eb="80">
      <t>レンゴウカイ</t>
    </rPh>
    <rPh sb="85" eb="87">
      <t>ガツマツ</t>
    </rPh>
    <rPh sb="88" eb="90">
      <t>シュトク</t>
    </rPh>
    <rPh sb="90" eb="92">
      <t>カノウ</t>
    </rPh>
    <phoneticPr fontId="17"/>
  </si>
  <si>
    <r>
      <rPr>
        <sz val="10"/>
        <rFont val="ＭＳ ゴシック"/>
        <family val="3"/>
        <charset val="128"/>
      </rPr>
      <t>　本シートは</t>
    </r>
    <r>
      <rPr>
        <sz val="10"/>
        <rFont val="Arial"/>
        <family val="2"/>
      </rPr>
      <t>2016</t>
    </r>
    <r>
      <rPr>
        <sz val="10"/>
        <rFont val="ＭＳ ゴシック"/>
        <family val="3"/>
        <charset val="128"/>
      </rPr>
      <t>年</t>
    </r>
    <r>
      <rPr>
        <sz val="10"/>
        <rFont val="Arial"/>
        <family val="2"/>
      </rPr>
      <t>3</t>
    </r>
    <r>
      <rPr>
        <sz val="10"/>
        <rFont val="ＭＳ ゴシック"/>
        <family val="3"/>
        <charset val="128"/>
      </rPr>
      <t>月期から新たに作成したシートであり二輪車新聞社の数字を用いていたが、</t>
    </r>
    <r>
      <rPr>
        <sz val="10"/>
        <rFont val="Arial"/>
        <family val="2"/>
      </rPr>
      <t>2017</t>
    </r>
    <r>
      <rPr>
        <sz val="10"/>
        <rFont val="ＭＳ ゴシック"/>
        <family val="3"/>
        <charset val="128"/>
      </rPr>
      <t>年</t>
    </r>
    <r>
      <rPr>
        <sz val="10"/>
        <rFont val="Arial"/>
        <family val="2"/>
      </rPr>
      <t>3</t>
    </r>
    <r>
      <rPr>
        <sz val="10"/>
        <rFont val="ＭＳ ゴシック"/>
        <family val="3"/>
        <charset val="128"/>
      </rPr>
      <t>月期に今後のルールを明確に定めた結果、</t>
    </r>
    <r>
      <rPr>
        <sz val="10"/>
        <rFont val="Arial"/>
        <family val="2"/>
      </rPr>
      <t>JBA</t>
    </r>
    <r>
      <rPr>
        <sz val="10"/>
        <rFont val="ＭＳ ゴシック"/>
        <family val="3"/>
        <charset val="128"/>
      </rPr>
      <t>内部資料としている上記</t>
    </r>
    <r>
      <rPr>
        <sz val="10"/>
        <rFont val="Arial"/>
        <family val="2"/>
      </rPr>
      <t>2</t>
    </r>
    <r>
      <rPr>
        <sz val="10"/>
        <rFont val="ＭＳ ゴシック"/>
        <family val="3"/>
        <charset val="128"/>
      </rPr>
      <t>社の数字を用いることになった。</t>
    </r>
    <rPh sb="1" eb="2">
      <t>ホン</t>
    </rPh>
    <rPh sb="10" eb="11">
      <t>ネン</t>
    </rPh>
    <rPh sb="12" eb="13">
      <t>ガツ</t>
    </rPh>
    <rPh sb="13" eb="14">
      <t>キ</t>
    </rPh>
    <rPh sb="16" eb="17">
      <t>アラ</t>
    </rPh>
    <rPh sb="19" eb="21">
      <t>サクセイ</t>
    </rPh>
    <rPh sb="29" eb="32">
      <t>ニリンシャ</t>
    </rPh>
    <rPh sb="32" eb="35">
      <t>シンブンシャ</t>
    </rPh>
    <rPh sb="36" eb="38">
      <t>スウジ</t>
    </rPh>
    <rPh sb="39" eb="40">
      <t>モチ</t>
    </rPh>
    <rPh sb="50" eb="51">
      <t>ネン</t>
    </rPh>
    <rPh sb="52" eb="54">
      <t>ガツキ</t>
    </rPh>
    <rPh sb="55" eb="57">
      <t>コンゴ</t>
    </rPh>
    <rPh sb="62" eb="64">
      <t>メイカク</t>
    </rPh>
    <rPh sb="65" eb="66">
      <t>サダ</t>
    </rPh>
    <rPh sb="68" eb="70">
      <t>ケッカ</t>
    </rPh>
    <rPh sb="74" eb="76">
      <t>ナイブ</t>
    </rPh>
    <rPh sb="76" eb="78">
      <t>シリョウ</t>
    </rPh>
    <rPh sb="83" eb="85">
      <t>ジョウキ</t>
    </rPh>
    <rPh sb="86" eb="87">
      <t>シャ</t>
    </rPh>
    <rPh sb="88" eb="90">
      <t>スウジ</t>
    </rPh>
    <rPh sb="91" eb="92">
      <t>モチ</t>
    </rPh>
    <phoneticPr fontId="17"/>
  </si>
  <si>
    <r>
      <rPr>
        <sz val="10"/>
        <rFont val="ＭＳ ゴシック"/>
        <family val="3"/>
        <charset val="128"/>
      </rPr>
      <t>　その結果、</t>
    </r>
    <r>
      <rPr>
        <sz val="10"/>
        <rFont val="Arial"/>
        <family val="2"/>
      </rPr>
      <t>2017</t>
    </r>
    <r>
      <rPr>
        <sz val="10"/>
        <rFont val="ＭＳ ゴシック"/>
        <family val="3"/>
        <charset val="128"/>
      </rPr>
      <t>年</t>
    </r>
    <r>
      <rPr>
        <sz val="10"/>
        <rFont val="Arial"/>
        <family val="2"/>
      </rPr>
      <t>3</t>
    </r>
    <r>
      <rPr>
        <sz val="10"/>
        <rFont val="ＭＳ ゴシック"/>
        <family val="3"/>
        <charset val="128"/>
      </rPr>
      <t>月期において、</t>
    </r>
    <r>
      <rPr>
        <sz val="10"/>
        <rFont val="Arial"/>
        <family val="2"/>
      </rPr>
      <t>2005</t>
    </r>
    <r>
      <rPr>
        <sz val="10"/>
        <rFont val="ＭＳ ゴシック"/>
        <family val="3"/>
        <charset val="128"/>
      </rPr>
      <t>年～</t>
    </r>
    <r>
      <rPr>
        <sz val="10"/>
        <rFont val="Arial"/>
        <family val="2"/>
      </rPr>
      <t>2015</t>
    </r>
    <r>
      <rPr>
        <sz val="10"/>
        <rFont val="ＭＳ ゴシック"/>
        <family val="3"/>
        <charset val="128"/>
      </rPr>
      <t>年の台数を修正している。修正元資料は「担当業務</t>
    </r>
    <r>
      <rPr>
        <sz val="10"/>
        <rFont val="Arial"/>
        <family val="2"/>
      </rPr>
      <t>\</t>
    </r>
    <r>
      <rPr>
        <sz val="10"/>
        <rFont val="ＭＳ ゴシック"/>
        <family val="3"/>
        <charset val="128"/>
      </rPr>
      <t>決算</t>
    </r>
    <r>
      <rPr>
        <sz val="10"/>
        <rFont val="Arial"/>
        <family val="2"/>
      </rPr>
      <t>\DATA BOOK\2017.3\</t>
    </r>
    <r>
      <rPr>
        <sz val="10"/>
        <rFont val="ＭＳ ゴシック"/>
        <family val="3"/>
        <charset val="128"/>
      </rPr>
      <t>資料</t>
    </r>
    <r>
      <rPr>
        <sz val="10"/>
        <rFont val="Arial"/>
        <family val="2"/>
      </rPr>
      <t>\</t>
    </r>
    <r>
      <rPr>
        <sz val="10"/>
        <rFont val="ＭＳ ゴシック"/>
        <family val="3"/>
        <charset val="128"/>
      </rPr>
      <t>二輪車市場統計資料</t>
    </r>
    <r>
      <rPr>
        <sz val="10"/>
        <rFont val="Arial"/>
        <family val="2"/>
      </rPr>
      <t>.xlsx</t>
    </r>
    <r>
      <rPr>
        <sz val="10"/>
        <rFont val="ＭＳ ゴシック"/>
        <family val="3"/>
        <charset val="128"/>
      </rPr>
      <t>」を参照のこと。←</t>
    </r>
    <r>
      <rPr>
        <sz val="10"/>
        <rFont val="Arial"/>
        <family val="2"/>
      </rPr>
      <t>2021.3</t>
    </r>
    <r>
      <rPr>
        <sz val="10"/>
        <rFont val="ＭＳ ゴシック"/>
        <family val="3"/>
        <charset val="128"/>
      </rPr>
      <t>期より作成しない。</t>
    </r>
    <rPh sb="3" eb="5">
      <t>ケッカ</t>
    </rPh>
    <rPh sb="10" eb="11">
      <t>ネン</t>
    </rPh>
    <rPh sb="12" eb="14">
      <t>ガツキ</t>
    </rPh>
    <rPh sb="23" eb="24">
      <t>ネン</t>
    </rPh>
    <rPh sb="29" eb="30">
      <t>ネン</t>
    </rPh>
    <rPh sb="31" eb="33">
      <t>ダイスウ</t>
    </rPh>
    <rPh sb="34" eb="36">
      <t>シュウセイ</t>
    </rPh>
    <rPh sb="41" eb="43">
      <t>シュウセイ</t>
    </rPh>
    <rPh sb="43" eb="44">
      <t>モト</t>
    </rPh>
    <rPh sb="44" eb="46">
      <t>シリョウ</t>
    </rPh>
    <rPh sb="92" eb="94">
      <t>サンショウ</t>
    </rPh>
    <rPh sb="105" eb="106">
      <t>キ</t>
    </rPh>
    <rPh sb="108" eb="110">
      <t>サクセイ</t>
    </rPh>
    <phoneticPr fontId="17"/>
  </si>
  <si>
    <r>
      <rPr>
        <sz val="10"/>
        <rFont val="ＭＳ ゴシック"/>
        <family val="3"/>
        <charset val="128"/>
      </rPr>
      <t>　なお、</t>
    </r>
    <r>
      <rPr>
        <sz val="10"/>
        <rFont val="Arial"/>
        <family val="2"/>
      </rPr>
      <t>2018</t>
    </r>
    <r>
      <rPr>
        <sz val="10"/>
        <rFont val="ＭＳ ゴシック"/>
        <family val="3"/>
        <charset val="128"/>
      </rPr>
      <t>年</t>
    </r>
    <r>
      <rPr>
        <sz val="10"/>
        <rFont val="Arial"/>
        <family val="2"/>
      </rPr>
      <t>3</t>
    </r>
    <r>
      <rPr>
        <sz val="10"/>
        <rFont val="ＭＳ ゴシック"/>
        <family val="3"/>
        <charset val="128"/>
      </rPr>
      <t>月期以降は、</t>
    </r>
    <r>
      <rPr>
        <sz val="10"/>
        <rFont val="Arial"/>
        <family val="2"/>
      </rPr>
      <t>JBA</t>
    </r>
    <r>
      <rPr>
        <sz val="10"/>
        <rFont val="ＭＳ ゴシック"/>
        <family val="3"/>
        <charset val="128"/>
      </rPr>
      <t>が同様の資料を作成しているため、</t>
    </r>
    <r>
      <rPr>
        <sz val="10"/>
        <rFont val="Arial"/>
        <family val="2"/>
      </rPr>
      <t>DATABOOK</t>
    </r>
    <r>
      <rPr>
        <sz val="10"/>
        <rFont val="ＭＳ ゴシック"/>
        <family val="3"/>
        <charset val="128"/>
      </rPr>
      <t>班としては、</t>
    </r>
    <r>
      <rPr>
        <sz val="10"/>
        <rFont val="Arial"/>
        <family val="2"/>
      </rPr>
      <t>JBA</t>
    </r>
    <r>
      <rPr>
        <sz val="10"/>
        <rFont val="ＭＳ ゴシック"/>
        <family val="3"/>
        <charset val="128"/>
      </rPr>
      <t>作成資料と参照元資料との整合性チェックのみとする。</t>
    </r>
    <rPh sb="8" eb="9">
      <t>ネン</t>
    </rPh>
    <rPh sb="10" eb="12">
      <t>ガツキ</t>
    </rPh>
    <rPh sb="12" eb="14">
      <t>イコウ</t>
    </rPh>
    <rPh sb="20" eb="22">
      <t>ドウヨウ</t>
    </rPh>
    <rPh sb="23" eb="25">
      <t>シリョウ</t>
    </rPh>
    <rPh sb="26" eb="28">
      <t>サクセイ</t>
    </rPh>
    <rPh sb="43" eb="44">
      <t>ハン</t>
    </rPh>
    <rPh sb="52" eb="54">
      <t>サクセイ</t>
    </rPh>
    <rPh sb="54" eb="56">
      <t>シリョウ</t>
    </rPh>
    <rPh sb="57" eb="59">
      <t>サンショウ</t>
    </rPh>
    <rPh sb="59" eb="60">
      <t>モト</t>
    </rPh>
    <rPh sb="60" eb="62">
      <t>シリョウ</t>
    </rPh>
    <rPh sb="64" eb="67">
      <t>セイゴウセイ</t>
    </rPh>
    <phoneticPr fontId="17"/>
  </si>
  <si>
    <r>
      <rPr>
        <sz val="10"/>
        <rFont val="ＭＳ ゴシック"/>
        <family val="3"/>
        <charset val="128"/>
      </rPr>
      <t>　</t>
    </r>
    <r>
      <rPr>
        <sz val="10"/>
        <rFont val="Arial"/>
        <family val="2"/>
      </rPr>
      <t>JBA</t>
    </r>
    <r>
      <rPr>
        <sz val="10"/>
        <rFont val="ＭＳ ゴシック"/>
        <family val="3"/>
        <charset val="128"/>
      </rPr>
      <t>作成資料は「担当業務</t>
    </r>
    <r>
      <rPr>
        <sz val="10"/>
        <rFont val="Arial"/>
        <family val="2"/>
      </rPr>
      <t>\</t>
    </r>
    <r>
      <rPr>
        <sz val="10"/>
        <rFont val="ＭＳ ゴシック"/>
        <family val="3"/>
        <charset val="128"/>
      </rPr>
      <t>決算</t>
    </r>
    <r>
      <rPr>
        <sz val="10"/>
        <rFont val="Arial"/>
        <family val="2"/>
      </rPr>
      <t>\DATA BOOK\2017.3\</t>
    </r>
    <r>
      <rPr>
        <sz val="10"/>
        <rFont val="ＭＳ ゴシック"/>
        <family val="3"/>
        <charset val="128"/>
      </rPr>
      <t>資料</t>
    </r>
    <r>
      <rPr>
        <sz val="10"/>
        <rFont val="Arial"/>
        <family val="2"/>
      </rPr>
      <t>\2017</t>
    </r>
    <r>
      <rPr>
        <sz val="10"/>
        <rFont val="ＭＳ ゴシック"/>
        <family val="3"/>
        <charset val="128"/>
      </rPr>
      <t>年</t>
    </r>
    <r>
      <rPr>
        <sz val="10"/>
        <rFont val="Arial"/>
        <family val="2"/>
      </rPr>
      <t>_</t>
    </r>
    <r>
      <rPr>
        <sz val="10"/>
        <rFont val="ＭＳ ゴシック"/>
        <family val="3"/>
        <charset val="128"/>
      </rPr>
      <t>二輪車マーケットデータ</t>
    </r>
    <r>
      <rPr>
        <sz val="10"/>
        <rFont val="Arial"/>
        <family val="2"/>
      </rPr>
      <t>.xls</t>
    </r>
    <r>
      <rPr>
        <sz val="10"/>
        <rFont val="ＭＳ ゴシック"/>
        <family val="3"/>
        <charset val="128"/>
      </rPr>
      <t>」を参照のこと。</t>
    </r>
    <r>
      <rPr>
        <sz val="10"/>
        <rFont val="Arial"/>
        <family val="2"/>
      </rPr>
      <t>(2017</t>
    </r>
    <r>
      <rPr>
        <sz val="10"/>
        <rFont val="ＭＳ ゴシック"/>
        <family val="3"/>
        <charset val="128"/>
      </rPr>
      <t>年</t>
    </r>
    <r>
      <rPr>
        <sz val="10"/>
        <rFont val="Arial"/>
        <family val="2"/>
      </rPr>
      <t>5</t>
    </r>
    <r>
      <rPr>
        <sz val="10"/>
        <rFont val="ＭＳ ゴシック"/>
        <family val="3"/>
        <charset val="128"/>
      </rPr>
      <t>月</t>
    </r>
    <r>
      <rPr>
        <sz val="10"/>
        <rFont val="Arial"/>
        <family val="2"/>
      </rPr>
      <t>3</t>
    </r>
    <r>
      <rPr>
        <sz val="10"/>
        <rFont val="ＭＳ ゴシック"/>
        <family val="3"/>
        <charset val="128"/>
      </rPr>
      <t>日服部副部長確認済</t>
    </r>
    <r>
      <rPr>
        <sz val="10"/>
        <rFont val="Arial"/>
        <family val="2"/>
      </rPr>
      <t>)</t>
    </r>
    <rPh sb="4" eb="6">
      <t>サクセイ</t>
    </rPh>
    <rPh sb="6" eb="8">
      <t>シリョウ</t>
    </rPh>
    <rPh sb="61" eb="63">
      <t>サンショウ</t>
    </rPh>
    <rPh sb="72" eb="73">
      <t>ネン</t>
    </rPh>
    <rPh sb="74" eb="75">
      <t>ガツ</t>
    </rPh>
    <rPh sb="76" eb="77">
      <t>ニチ</t>
    </rPh>
    <rPh sb="77" eb="79">
      <t>ハットリ</t>
    </rPh>
    <rPh sb="79" eb="82">
      <t>フクブチョウ</t>
    </rPh>
    <rPh sb="82" eb="84">
      <t>カクニン</t>
    </rPh>
    <rPh sb="84" eb="85">
      <t>ズ</t>
    </rPh>
    <phoneticPr fontId="17"/>
  </si>
  <si>
    <r>
      <rPr>
        <sz val="10"/>
        <rFont val="ＭＳ ゴシック"/>
        <family val="3"/>
        <charset val="128"/>
      </rPr>
      <t>　＜注意事項＞</t>
    </r>
    <rPh sb="2" eb="4">
      <t>チュウイ</t>
    </rPh>
    <rPh sb="4" eb="6">
      <t>ジコウ</t>
    </rPh>
    <phoneticPr fontId="17"/>
  </si>
  <si>
    <r>
      <rPr>
        <sz val="10"/>
        <rFont val="ＭＳ ゴシック"/>
        <family val="3"/>
        <charset val="128"/>
      </rPr>
      <t>　　日本自動車工業会の</t>
    </r>
    <r>
      <rPr>
        <sz val="10"/>
        <rFont val="Arial"/>
        <family val="2"/>
      </rPr>
      <t>HP</t>
    </r>
    <r>
      <rPr>
        <sz val="10"/>
        <rFont val="ＭＳ ゴシック"/>
        <family val="3"/>
        <charset val="128"/>
      </rPr>
      <t>から上記データを確認する場合、「統計月報」と「データベース」の</t>
    </r>
    <r>
      <rPr>
        <sz val="10"/>
        <rFont val="Arial"/>
        <family val="2"/>
      </rPr>
      <t>2</t>
    </r>
    <r>
      <rPr>
        <sz val="10"/>
        <rFont val="ＭＳ ゴシック"/>
        <family val="3"/>
        <charset val="128"/>
      </rPr>
      <t>通りの方法があるが、「統計月報」と「データベース」とで台数が異なっていることから、「統計月報」を用いること！</t>
    </r>
    <rPh sb="2" eb="4">
      <t>ニホン</t>
    </rPh>
    <rPh sb="4" eb="7">
      <t>ジドウシャ</t>
    </rPh>
    <rPh sb="7" eb="9">
      <t>コウギョウ</t>
    </rPh>
    <rPh sb="9" eb="10">
      <t>カイ</t>
    </rPh>
    <rPh sb="15" eb="17">
      <t>ジョウキ</t>
    </rPh>
    <rPh sb="21" eb="23">
      <t>カクニン</t>
    </rPh>
    <rPh sb="25" eb="27">
      <t>バアイ</t>
    </rPh>
    <rPh sb="29" eb="31">
      <t>トウケイ</t>
    </rPh>
    <rPh sb="31" eb="33">
      <t>ゲッポウ</t>
    </rPh>
    <rPh sb="45" eb="46">
      <t>トオ</t>
    </rPh>
    <rPh sb="48" eb="50">
      <t>ホウホウ</t>
    </rPh>
    <phoneticPr fontId="17"/>
  </si>
  <si>
    <r>
      <rPr>
        <sz val="10"/>
        <rFont val="ＭＳ ゴシック"/>
        <family val="3"/>
        <charset val="128"/>
      </rPr>
      <t>●元資料であった、日本自動車工業会の統計月報掲載終了に伴い、日本自動車工業会が発表する出荷の集計に変更したことで修正することになった。</t>
    </r>
    <r>
      <rPr>
        <sz val="10"/>
        <rFont val="Arial"/>
        <family val="2"/>
      </rPr>
      <t>2021.3</t>
    </r>
    <r>
      <rPr>
        <sz val="10"/>
        <rFont val="ＭＳ ゴシック"/>
        <family val="3"/>
        <charset val="128"/>
      </rPr>
      <t>期</t>
    </r>
    <rPh sb="73" eb="74">
      <t>キ</t>
    </rPh>
    <phoneticPr fontId="17"/>
  </si>
  <si>
    <r>
      <t xml:space="preserve">  \\10.51.3.13\</t>
    </r>
    <r>
      <rPr>
        <u/>
        <sz val="10"/>
        <color indexed="12"/>
        <rFont val="細明朝体"/>
        <family val="3"/>
        <charset val="128"/>
      </rPr>
      <t>財務部</t>
    </r>
    <r>
      <rPr>
        <u/>
        <sz val="10"/>
        <color indexed="12"/>
        <rFont val="Arial"/>
        <family val="2"/>
      </rPr>
      <t>\10_</t>
    </r>
    <r>
      <rPr>
        <u/>
        <sz val="10"/>
        <color indexed="12"/>
        <rFont val="細明朝体"/>
        <family val="3"/>
        <charset val="128"/>
      </rPr>
      <t>担当業務</t>
    </r>
    <r>
      <rPr>
        <u/>
        <sz val="10"/>
        <color indexed="12"/>
        <rFont val="Arial"/>
        <family val="2"/>
      </rPr>
      <t>\30_</t>
    </r>
    <r>
      <rPr>
        <u/>
        <sz val="10"/>
        <color indexed="12"/>
        <rFont val="細明朝体"/>
        <family val="3"/>
        <charset val="128"/>
      </rPr>
      <t>決算</t>
    </r>
    <r>
      <rPr>
        <u/>
        <sz val="10"/>
        <color indexed="12"/>
        <rFont val="Arial"/>
        <family val="2"/>
      </rPr>
      <t>\DATABOOK\2103\</t>
    </r>
    <r>
      <rPr>
        <u/>
        <sz val="10"/>
        <color indexed="12"/>
        <rFont val="細明朝体"/>
        <family val="3"/>
        <charset val="128"/>
      </rPr>
      <t>【要確認】本決算時修正ﾘｽﾄ</t>
    </r>
    <phoneticPr fontId="17"/>
  </si>
  <si>
    <r>
      <rPr>
        <sz val="10"/>
        <rFont val="ＭＳ ゴシック"/>
        <family val="3"/>
        <charset val="128"/>
      </rPr>
      <t>修正資料：</t>
    </r>
    <rPh sb="0" eb="2">
      <t>シュウセイ</t>
    </rPh>
    <rPh sb="2" eb="4">
      <t>シリョウ</t>
    </rPh>
    <phoneticPr fontId="17"/>
  </si>
  <si>
    <r>
      <rPr>
        <sz val="10"/>
        <rFont val="ＭＳ ゴシック"/>
        <family val="3"/>
        <charset val="128"/>
      </rPr>
      <t>●</t>
    </r>
    <r>
      <rPr>
        <sz val="10"/>
        <rFont val="Arial"/>
        <family val="2"/>
      </rPr>
      <t>JB_</t>
    </r>
    <r>
      <rPr>
        <sz val="10"/>
        <rFont val="ＭＳ ゴシック"/>
        <family val="3"/>
        <charset val="128"/>
      </rPr>
      <t>二輪車マーケットデータ</t>
    </r>
    <r>
      <rPr>
        <sz val="10"/>
        <rFont val="Arial"/>
        <family val="2"/>
      </rPr>
      <t>(</t>
    </r>
    <r>
      <rPr>
        <sz val="10"/>
        <rFont val="ＭＳ ゴシック"/>
        <family val="3"/>
        <charset val="128"/>
      </rPr>
      <t>変更後）</t>
    </r>
    <r>
      <rPr>
        <sz val="10"/>
        <rFont val="Arial"/>
        <family val="2"/>
      </rPr>
      <t>.xls</t>
    </r>
    <phoneticPr fontId="17"/>
  </si>
  <si>
    <r>
      <rPr>
        <sz val="10"/>
        <rFont val="ＭＳ ゴシック"/>
        <family val="3"/>
        <charset val="128"/>
      </rPr>
      <t>●二輪車業界関連指標副社長確認済み</t>
    </r>
    <r>
      <rPr>
        <sz val="10"/>
        <rFont val="Arial"/>
        <family val="2"/>
      </rPr>
      <t>.pdf</t>
    </r>
    <phoneticPr fontId="17"/>
  </si>
  <si>
    <r>
      <rPr>
        <sz val="10"/>
        <rFont val="ＭＳ ゴシック"/>
        <family val="3"/>
        <charset val="128"/>
      </rPr>
      <t>●参照資料：</t>
    </r>
    <rPh sb="1" eb="3">
      <t>サンショウ</t>
    </rPh>
    <rPh sb="3" eb="5">
      <t>シリョウ</t>
    </rPh>
    <phoneticPr fontId="17"/>
  </si>
  <si>
    <r>
      <t>\\10.51.3.13\</t>
    </r>
    <r>
      <rPr>
        <u/>
        <sz val="10"/>
        <color indexed="12"/>
        <rFont val="細明朝体"/>
        <family val="3"/>
        <charset val="128"/>
      </rPr>
      <t>財務部</t>
    </r>
    <r>
      <rPr>
        <u/>
        <sz val="10"/>
        <color indexed="12"/>
        <rFont val="Arial"/>
        <family val="2"/>
      </rPr>
      <t>\10_</t>
    </r>
    <r>
      <rPr>
        <u/>
        <sz val="10"/>
        <color indexed="12"/>
        <rFont val="細明朝体"/>
        <family val="3"/>
        <charset val="128"/>
      </rPr>
      <t>担当業務</t>
    </r>
    <r>
      <rPr>
        <u/>
        <sz val="10"/>
        <color indexed="12"/>
        <rFont val="Arial"/>
        <family val="2"/>
      </rPr>
      <t>\30_</t>
    </r>
    <r>
      <rPr>
        <u/>
        <sz val="10"/>
        <color indexed="12"/>
        <rFont val="細明朝体"/>
        <family val="3"/>
        <charset val="128"/>
      </rPr>
      <t>決算</t>
    </r>
    <r>
      <rPr>
        <u/>
        <sz val="10"/>
        <color indexed="12"/>
        <rFont val="Arial"/>
        <family val="2"/>
      </rPr>
      <t>\DATABOOK\2103\</t>
    </r>
    <r>
      <rPr>
        <u/>
        <sz val="10"/>
        <color indexed="12"/>
        <rFont val="細明朝体"/>
        <family val="3"/>
        <charset val="128"/>
      </rPr>
      <t>追加資料</t>
    </r>
  </si>
  <si>
    <r>
      <rPr>
        <sz val="10"/>
        <rFont val="ＭＳ ゴシック"/>
        <family val="3"/>
        <charset val="128"/>
      </rPr>
      <t>●</t>
    </r>
    <r>
      <rPr>
        <sz val="10"/>
        <rFont val="Arial"/>
        <family val="2"/>
      </rPr>
      <t>JB_2103</t>
    </r>
    <r>
      <rPr>
        <sz val="10"/>
        <rFont val="ＭＳ ゴシック"/>
        <family val="3"/>
        <charset val="128"/>
      </rPr>
      <t>二輪車マーケットデータ</t>
    </r>
    <r>
      <rPr>
        <sz val="10"/>
        <rFont val="Arial"/>
        <family val="2"/>
      </rPr>
      <t>.xls</t>
    </r>
    <phoneticPr fontId="17"/>
  </si>
  <si>
    <r>
      <t>(</t>
    </r>
    <r>
      <rPr>
        <sz val="6"/>
        <rFont val="メイリオ"/>
        <family val="3"/>
        <charset val="128"/>
      </rPr>
      <t>出所：</t>
    </r>
    <r>
      <rPr>
        <sz val="6"/>
        <rFont val="Arial"/>
        <family val="2"/>
      </rPr>
      <t>(</t>
    </r>
    <r>
      <rPr>
        <sz val="6"/>
        <rFont val="メイリオ"/>
        <family val="3"/>
        <charset val="128"/>
      </rPr>
      <t>株</t>
    </r>
    <r>
      <rPr>
        <sz val="6"/>
        <rFont val="Arial"/>
        <family val="2"/>
      </rPr>
      <t>)</t>
    </r>
    <r>
      <rPr>
        <sz val="6"/>
        <rFont val="メイリオ"/>
        <family val="3"/>
        <charset val="128"/>
      </rPr>
      <t>二輪車新聞社</t>
    </r>
    <r>
      <rPr>
        <sz val="6"/>
        <rFont val="Arial"/>
        <family val="2"/>
      </rPr>
      <t>)</t>
    </r>
    <rPh sb="5" eb="6">
      <t>カブ</t>
    </rPh>
    <rPh sb="12" eb="13">
      <t>シャ</t>
    </rPh>
    <phoneticPr fontId="17"/>
  </si>
  <si>
    <r>
      <t>JBA</t>
    </r>
    <r>
      <rPr>
        <sz val="10"/>
        <rFont val="ＭＳ ゴシック"/>
        <family val="3"/>
        <charset val="128"/>
      </rPr>
      <t>合計</t>
    </r>
    <rPh sb="3" eb="5">
      <t>ゴウケイ</t>
    </rPh>
    <phoneticPr fontId="17"/>
  </si>
  <si>
    <r>
      <rPr>
        <sz val="10"/>
        <rFont val="ＭＳ ゴシック"/>
        <family val="3"/>
        <charset val="128"/>
      </rPr>
      <t>その他</t>
    </r>
    <rPh sb="2" eb="3">
      <t>タ</t>
    </rPh>
    <phoneticPr fontId="17"/>
  </si>
  <si>
    <r>
      <rPr>
        <sz val="10"/>
        <rFont val="ＭＳ ゴシック"/>
        <family val="3"/>
        <charset val="128"/>
      </rPr>
      <t>グラフ作成用</t>
    </r>
    <rPh sb="3" eb="6">
      <t>サクセイヨウ</t>
    </rPh>
    <phoneticPr fontId="17"/>
  </si>
  <si>
    <r>
      <rPr>
        <sz val="10"/>
        <rFont val="ＭＳ ゴシック"/>
        <family val="3"/>
        <charset val="128"/>
      </rPr>
      <t xml:space="preserve">業界合計
</t>
    </r>
    <r>
      <rPr>
        <sz val="10"/>
        <rFont val="Arial"/>
        <family val="2"/>
      </rPr>
      <t>Industry Total</t>
    </r>
    <rPh sb="0" eb="2">
      <t>ギョウカイ</t>
    </rPh>
    <rPh sb="2" eb="4">
      <t>ゴウケイ</t>
    </rPh>
    <phoneticPr fontId="17"/>
  </si>
  <si>
    <r>
      <rPr>
        <sz val="10"/>
        <rFont val="ＭＳ ゴシック"/>
        <family val="3"/>
        <charset val="128"/>
      </rPr>
      <t xml:space="preserve">シェア
</t>
    </r>
    <r>
      <rPr>
        <sz val="10"/>
        <rFont val="Arial"/>
        <family val="2"/>
      </rPr>
      <t>share</t>
    </r>
    <phoneticPr fontId="17"/>
  </si>
  <si>
    <r>
      <rPr>
        <sz val="10"/>
        <rFont val="ＭＳ ゴシック"/>
        <family val="3"/>
        <charset val="128"/>
      </rPr>
      <t>※</t>
    </r>
    <r>
      <rPr>
        <sz val="10"/>
        <rFont val="Arial"/>
        <family val="2"/>
      </rPr>
      <t>2016</t>
    </r>
    <r>
      <rPr>
        <sz val="10"/>
        <rFont val="ＭＳ ゴシック"/>
        <family val="3"/>
        <charset val="128"/>
      </rPr>
      <t>年</t>
    </r>
    <r>
      <rPr>
        <sz val="10"/>
        <rFont val="Arial"/>
        <family val="2"/>
      </rPr>
      <t>3</t>
    </r>
    <r>
      <rPr>
        <sz val="10"/>
        <rFont val="ＭＳ ゴシック"/>
        <family val="3"/>
        <charset val="128"/>
      </rPr>
      <t>月期は</t>
    </r>
    <r>
      <rPr>
        <sz val="10"/>
        <rFont val="Arial"/>
        <family val="2"/>
      </rPr>
      <t>JBA</t>
    </r>
    <r>
      <rPr>
        <sz val="10"/>
        <rFont val="ＭＳ ゴシック"/>
        <family val="3"/>
        <charset val="128"/>
      </rPr>
      <t>から提出してもらったシェアの資料</t>
    </r>
    <r>
      <rPr>
        <sz val="10"/>
        <rFont val="Arial"/>
        <family val="2"/>
      </rPr>
      <t>(</t>
    </r>
    <r>
      <rPr>
        <sz val="10"/>
        <rFont val="ＭＳ ゴシック"/>
        <family val="3"/>
        <charset val="128"/>
      </rPr>
      <t>出所</t>
    </r>
    <r>
      <rPr>
        <sz val="10"/>
        <rFont val="Arial"/>
        <family val="2"/>
      </rPr>
      <t>:</t>
    </r>
    <r>
      <rPr>
        <sz val="10"/>
        <rFont val="ＭＳ ゴシック"/>
        <family val="3"/>
        <charset val="128"/>
      </rPr>
      <t>二輪車新聞社</t>
    </r>
    <r>
      <rPr>
        <sz val="10"/>
        <rFont val="Arial"/>
        <family val="2"/>
      </rPr>
      <t>)</t>
    </r>
    <r>
      <rPr>
        <sz val="10"/>
        <rFont val="ＭＳ ゴシック"/>
        <family val="3"/>
        <charset val="128"/>
      </rPr>
      <t>を使用。「担当業務</t>
    </r>
    <r>
      <rPr>
        <sz val="10"/>
        <rFont val="Arial"/>
        <family val="2"/>
      </rPr>
      <t>\</t>
    </r>
    <r>
      <rPr>
        <sz val="10"/>
        <rFont val="ＭＳ ゴシック"/>
        <family val="3"/>
        <charset val="128"/>
      </rPr>
      <t>決算</t>
    </r>
    <r>
      <rPr>
        <sz val="10"/>
        <rFont val="Arial"/>
        <family val="2"/>
      </rPr>
      <t>\DATA BOOK\2016.3\</t>
    </r>
    <r>
      <rPr>
        <sz val="10"/>
        <rFont val="ＭＳ ゴシック"/>
        <family val="3"/>
        <charset val="128"/>
      </rPr>
      <t>参考資料</t>
    </r>
    <r>
      <rPr>
        <sz val="10"/>
        <rFont val="Arial"/>
        <family val="2"/>
      </rPr>
      <t>\JBA</t>
    </r>
    <r>
      <rPr>
        <sz val="10"/>
        <rFont val="ＭＳ ゴシック"/>
        <family val="3"/>
        <charset val="128"/>
      </rPr>
      <t>関連資料</t>
    </r>
    <r>
      <rPr>
        <sz val="10"/>
        <rFont val="Arial"/>
        <family val="2"/>
      </rPr>
      <t>\20160422USS</t>
    </r>
    <r>
      <rPr>
        <sz val="10"/>
        <rFont val="ＭＳ ゴシック"/>
        <family val="3"/>
        <charset val="128"/>
      </rPr>
      <t>財務依頼</t>
    </r>
    <r>
      <rPr>
        <sz val="10"/>
        <rFont val="Arial"/>
        <family val="2"/>
      </rPr>
      <t>_</t>
    </r>
    <r>
      <rPr>
        <sz val="10"/>
        <rFont val="ＭＳ ゴシック"/>
        <family val="3"/>
        <charset val="128"/>
      </rPr>
      <t>二輪市場の各種データ</t>
    </r>
    <r>
      <rPr>
        <sz val="10"/>
        <rFont val="Arial"/>
        <family val="2"/>
      </rPr>
      <t>.xls</t>
    </r>
    <r>
      <rPr>
        <sz val="10"/>
        <rFont val="ＭＳ ゴシック"/>
        <family val="3"/>
        <charset val="128"/>
      </rPr>
      <t>」を参照。</t>
    </r>
    <rPh sb="5" eb="6">
      <t>ネン</t>
    </rPh>
    <rPh sb="7" eb="9">
      <t>ガツキ</t>
    </rPh>
    <rPh sb="15" eb="17">
      <t>テイシュツ</t>
    </rPh>
    <rPh sb="27" eb="29">
      <t>シリョウ</t>
    </rPh>
    <rPh sb="30" eb="32">
      <t>シュッショ</t>
    </rPh>
    <rPh sb="33" eb="36">
      <t>ニリンシャ</t>
    </rPh>
    <rPh sb="36" eb="39">
      <t>シンブンシャ</t>
    </rPh>
    <rPh sb="41" eb="43">
      <t>シヨウ</t>
    </rPh>
    <rPh sb="115" eb="117">
      <t>サンショウ</t>
    </rPh>
    <phoneticPr fontId="17"/>
  </si>
  <si>
    <r>
      <rPr>
        <sz val="10"/>
        <rFont val="ＭＳ ゴシック"/>
        <family val="3"/>
        <charset val="128"/>
      </rPr>
      <t>　</t>
    </r>
    <r>
      <rPr>
        <sz val="10"/>
        <rFont val="Arial"/>
        <family val="2"/>
      </rPr>
      <t>2017</t>
    </r>
    <r>
      <rPr>
        <sz val="10"/>
        <rFont val="ＭＳ ゴシック"/>
        <family val="3"/>
        <charset val="128"/>
      </rPr>
      <t>年</t>
    </r>
    <r>
      <rPr>
        <sz val="10"/>
        <rFont val="Arial"/>
        <family val="2"/>
      </rPr>
      <t>3</t>
    </r>
    <r>
      <rPr>
        <sz val="10"/>
        <rFont val="ＭＳ ゴシック"/>
        <family val="3"/>
        <charset val="128"/>
      </rPr>
      <t>月期からは</t>
    </r>
    <r>
      <rPr>
        <sz val="10"/>
        <rFont val="Arial"/>
        <family val="2"/>
      </rPr>
      <t>JBA</t>
    </r>
    <r>
      <rPr>
        <sz val="10"/>
        <rFont val="ＭＳ ゴシック"/>
        <family val="3"/>
        <charset val="128"/>
      </rPr>
      <t>から提出してもらう資料</t>
    </r>
    <r>
      <rPr>
        <sz val="10"/>
        <rFont val="Arial"/>
        <family val="2"/>
      </rPr>
      <t>(</t>
    </r>
    <r>
      <rPr>
        <sz val="10"/>
        <rFont val="ＭＳ ゴシック"/>
        <family val="3"/>
        <charset val="128"/>
      </rPr>
      <t>出所</t>
    </r>
    <r>
      <rPr>
        <sz val="10"/>
        <rFont val="Arial"/>
        <family val="2"/>
      </rPr>
      <t>:</t>
    </r>
    <r>
      <rPr>
        <sz val="10"/>
        <rFont val="ＭＳ ゴシック"/>
        <family val="3"/>
        <charset val="128"/>
      </rPr>
      <t>二輪車新聞社</t>
    </r>
    <r>
      <rPr>
        <sz val="10"/>
        <rFont val="Arial"/>
        <family val="2"/>
      </rPr>
      <t>)</t>
    </r>
    <r>
      <rPr>
        <sz val="10"/>
        <rFont val="ＭＳ ゴシック"/>
        <family val="3"/>
        <charset val="128"/>
      </rPr>
      <t>を基に財務部で作成する資料を使用「担当会場</t>
    </r>
    <r>
      <rPr>
        <sz val="10"/>
        <rFont val="Arial"/>
        <family val="2"/>
      </rPr>
      <t>\zJBA\JBA</t>
    </r>
    <r>
      <rPr>
        <sz val="10"/>
        <rFont val="ＭＳ ゴシック"/>
        <family val="3"/>
        <charset val="128"/>
      </rPr>
      <t>日本</t>
    </r>
    <r>
      <rPr>
        <sz val="10"/>
        <rFont val="Arial"/>
        <family val="2"/>
      </rPr>
      <t>\</t>
    </r>
    <r>
      <rPr>
        <sz val="10"/>
        <rFont val="ＭＳ ゴシック"/>
        <family val="3"/>
        <charset val="128"/>
      </rPr>
      <t>決算・月次</t>
    </r>
    <r>
      <rPr>
        <sz val="10"/>
        <rFont val="Arial"/>
        <family val="2"/>
      </rPr>
      <t>\201703\201703\</t>
    </r>
    <r>
      <rPr>
        <sz val="10"/>
        <rFont val="ＭＳ ゴシック"/>
        <family val="3"/>
        <charset val="128"/>
      </rPr>
      <t>副社長提出資料</t>
    </r>
    <r>
      <rPr>
        <sz val="10"/>
        <rFont val="Arial"/>
        <family val="2"/>
      </rPr>
      <t>\JBA</t>
    </r>
    <r>
      <rPr>
        <sz val="10"/>
        <rFont val="ＭＳ ゴシック"/>
        <family val="3"/>
        <charset val="128"/>
      </rPr>
      <t>シェア</t>
    </r>
    <r>
      <rPr>
        <sz val="10"/>
        <rFont val="Arial"/>
        <family val="2"/>
      </rPr>
      <t>.xlsx</t>
    </r>
    <r>
      <rPr>
        <sz val="10"/>
        <rFont val="ＭＳ ゴシック"/>
        <family val="3"/>
        <charset val="128"/>
      </rPr>
      <t>」</t>
    </r>
    <r>
      <rPr>
        <sz val="10"/>
        <rFont val="Arial"/>
        <family val="2"/>
      </rPr>
      <t>(2013</t>
    </r>
    <r>
      <rPr>
        <sz val="10"/>
        <rFont val="ＭＳ ゴシック"/>
        <family val="3"/>
        <charset val="128"/>
      </rPr>
      <t>年分から適用</t>
    </r>
    <r>
      <rPr>
        <sz val="10"/>
        <rFont val="Arial"/>
        <family val="2"/>
      </rPr>
      <t>)</t>
    </r>
    <phoneticPr fontId="17"/>
  </si>
  <si>
    <r>
      <rPr>
        <sz val="10"/>
        <rFont val="ＭＳ ゴシック"/>
        <family val="3"/>
        <charset val="128"/>
      </rPr>
      <t>　その結果、</t>
    </r>
    <r>
      <rPr>
        <sz val="10"/>
        <rFont val="Arial"/>
        <family val="2"/>
      </rPr>
      <t>2017</t>
    </r>
    <r>
      <rPr>
        <sz val="10"/>
        <rFont val="ＭＳ ゴシック"/>
        <family val="3"/>
        <charset val="128"/>
      </rPr>
      <t>年</t>
    </r>
    <r>
      <rPr>
        <sz val="10"/>
        <rFont val="Arial"/>
        <family val="2"/>
      </rPr>
      <t>3</t>
    </r>
    <r>
      <rPr>
        <sz val="10"/>
        <rFont val="ＭＳ ゴシック"/>
        <family val="3"/>
        <charset val="128"/>
      </rPr>
      <t>月期において、</t>
    </r>
    <r>
      <rPr>
        <sz val="10"/>
        <rFont val="Arial"/>
        <family val="2"/>
      </rPr>
      <t>2015</t>
    </r>
    <r>
      <rPr>
        <sz val="10"/>
        <rFont val="ＭＳ ゴシック"/>
        <family val="3"/>
        <charset val="128"/>
      </rPr>
      <t>年の業界合計台数を</t>
    </r>
    <r>
      <rPr>
        <sz val="10"/>
        <rFont val="Arial"/>
        <family val="2"/>
      </rPr>
      <t>449,391</t>
    </r>
    <r>
      <rPr>
        <sz val="10"/>
        <rFont val="ＭＳ ゴシック"/>
        <family val="3"/>
        <charset val="128"/>
      </rPr>
      <t>台から</t>
    </r>
    <r>
      <rPr>
        <sz val="10"/>
        <rFont val="Arial"/>
        <family val="2"/>
      </rPr>
      <t>449,196</t>
    </r>
    <r>
      <rPr>
        <sz val="10"/>
        <rFont val="ＭＳ ゴシック"/>
        <family val="3"/>
        <charset val="128"/>
      </rPr>
      <t>台に修正。</t>
    </r>
    <rPh sb="3" eb="5">
      <t>ケッカ</t>
    </rPh>
    <rPh sb="10" eb="11">
      <t>ネン</t>
    </rPh>
    <rPh sb="12" eb="14">
      <t>ガツキ</t>
    </rPh>
    <rPh sb="23" eb="24">
      <t>ネン</t>
    </rPh>
    <rPh sb="25" eb="27">
      <t>ギョウカイ</t>
    </rPh>
    <rPh sb="27" eb="29">
      <t>ゴウケイ</t>
    </rPh>
    <rPh sb="29" eb="31">
      <t>ダイスウ</t>
    </rPh>
    <rPh sb="35" eb="40">
      <t>３９１ダイ</t>
    </rPh>
    <rPh sb="45" eb="50">
      <t>１９６ダイ</t>
    </rPh>
    <rPh sb="51" eb="53">
      <t>シュウセイ</t>
    </rPh>
    <phoneticPr fontId="17"/>
  </si>
  <si>
    <r>
      <rPr>
        <sz val="10"/>
        <rFont val="ＭＳ ゴシック"/>
        <family val="3"/>
        <charset val="128"/>
      </rPr>
      <t>　なお、第</t>
    </r>
    <r>
      <rPr>
        <sz val="10"/>
        <rFont val="Arial"/>
        <family val="2"/>
      </rPr>
      <t>3</t>
    </r>
    <r>
      <rPr>
        <sz val="10"/>
        <rFont val="ＭＳ ゴシック"/>
        <family val="3"/>
        <charset val="128"/>
      </rPr>
      <t>四半期決算時に数字が固まるはずなので、ほかの暦年資料と一緒に作成、副社長に提出する。</t>
    </r>
    <rPh sb="4" eb="5">
      <t>ダイ</t>
    </rPh>
    <rPh sb="6" eb="7">
      <t>シ</t>
    </rPh>
    <rPh sb="7" eb="9">
      <t>ハンキ</t>
    </rPh>
    <rPh sb="9" eb="11">
      <t>ケッサン</t>
    </rPh>
    <rPh sb="11" eb="12">
      <t>ジ</t>
    </rPh>
    <rPh sb="13" eb="15">
      <t>スウジ</t>
    </rPh>
    <rPh sb="16" eb="17">
      <t>カタ</t>
    </rPh>
    <rPh sb="28" eb="30">
      <t>レキネン</t>
    </rPh>
    <rPh sb="30" eb="32">
      <t>シリョウ</t>
    </rPh>
    <rPh sb="33" eb="35">
      <t>イッショ</t>
    </rPh>
    <rPh sb="36" eb="38">
      <t>サクセイ</t>
    </rPh>
    <rPh sb="39" eb="42">
      <t>フクシャチョウ</t>
    </rPh>
    <rPh sb="43" eb="45">
      <t>テイシュツ</t>
    </rPh>
    <phoneticPr fontId="17"/>
  </si>
  <si>
    <r>
      <rPr>
        <sz val="6"/>
        <color theme="0"/>
        <rFont val="メイリオ"/>
        <family val="3"/>
        <charset val="128"/>
      </rPr>
      <t xml:space="preserve">開催数
</t>
    </r>
    <r>
      <rPr>
        <sz val="6"/>
        <color theme="0"/>
        <rFont val="Arial"/>
        <family val="2"/>
      </rPr>
      <t>No. of Auctions</t>
    </r>
    <rPh sb="0" eb="2">
      <t>カイサイ</t>
    </rPh>
    <rPh sb="2" eb="3">
      <t>カズ</t>
    </rPh>
    <phoneticPr fontId="14"/>
  </si>
  <si>
    <r>
      <rPr>
        <sz val="6"/>
        <color theme="0"/>
        <rFont val="メイリオ"/>
        <family val="3"/>
        <charset val="128"/>
      </rPr>
      <t xml:space="preserve">出品台数
</t>
    </r>
    <r>
      <rPr>
        <sz val="6"/>
        <color theme="0"/>
        <rFont val="Arial"/>
        <family val="2"/>
      </rPr>
      <t>No. of Consigned Vehicles</t>
    </r>
    <rPh sb="0" eb="2">
      <t>シュッピン</t>
    </rPh>
    <rPh sb="2" eb="4">
      <t>ダイスウ</t>
    </rPh>
    <phoneticPr fontId="14"/>
  </si>
  <si>
    <r>
      <rPr>
        <sz val="6"/>
        <color theme="0"/>
        <rFont val="メイリオ"/>
        <family val="3"/>
        <charset val="128"/>
      </rPr>
      <t xml:space="preserve">成約台数
</t>
    </r>
    <r>
      <rPr>
        <sz val="6"/>
        <color theme="0"/>
        <rFont val="Arial"/>
        <family val="2"/>
      </rPr>
      <t>No. of Contracted Vehicles</t>
    </r>
    <rPh sb="0" eb="2">
      <t>セイヤク</t>
    </rPh>
    <rPh sb="2" eb="4">
      <t>ダイスウ</t>
    </rPh>
    <phoneticPr fontId="14"/>
  </si>
  <si>
    <r>
      <rPr>
        <sz val="6"/>
        <color theme="0"/>
        <rFont val="メイリオ"/>
        <family val="3"/>
        <charset val="128"/>
      </rPr>
      <t xml:space="preserve">成約率
</t>
    </r>
    <r>
      <rPr>
        <sz val="6"/>
        <color theme="0"/>
        <rFont val="Arial"/>
        <family val="2"/>
      </rPr>
      <t>Contract Completion Rate</t>
    </r>
    <rPh sb="0" eb="2">
      <t>セイヤク</t>
    </rPh>
    <rPh sb="2" eb="3">
      <t>リツ</t>
    </rPh>
    <phoneticPr fontId="14"/>
  </si>
  <si>
    <r>
      <rPr>
        <sz val="6"/>
        <color theme="0"/>
        <rFont val="メイリオ"/>
        <family val="3"/>
        <charset val="128"/>
      </rPr>
      <t xml:space="preserve">増減率
</t>
    </r>
    <r>
      <rPr>
        <sz val="6"/>
        <color theme="0"/>
        <rFont val="Arial"/>
        <family val="2"/>
      </rPr>
      <t>YoY Changes</t>
    </r>
    <phoneticPr fontId="15"/>
  </si>
  <si>
    <r>
      <rPr>
        <sz val="6"/>
        <rFont val="メイリオ"/>
        <family val="3"/>
        <charset val="128"/>
      </rPr>
      <t>※</t>
    </r>
    <r>
      <rPr>
        <sz val="6"/>
        <rFont val="Arial"/>
        <family val="2"/>
      </rPr>
      <t>JBA</t>
    </r>
    <r>
      <rPr>
        <sz val="6"/>
        <rFont val="メイリオ"/>
        <family val="3"/>
        <charset val="128"/>
      </rPr>
      <t>の実績は含めておりません。</t>
    </r>
    <rPh sb="5" eb="7">
      <t>ジッセキ</t>
    </rPh>
    <rPh sb="8" eb="9">
      <t>フク</t>
    </rPh>
    <phoneticPr fontId="17"/>
  </si>
  <si>
    <r>
      <t>5</t>
    </r>
    <r>
      <rPr>
        <sz val="6"/>
        <color theme="0"/>
        <rFont val="メイリオ"/>
        <family val="3"/>
        <charset val="128"/>
      </rPr>
      <t xml:space="preserve">月
</t>
    </r>
    <r>
      <rPr>
        <sz val="6"/>
        <color theme="0"/>
        <rFont val="Arial"/>
        <family val="2"/>
      </rPr>
      <t>May</t>
    </r>
    <rPh sb="0" eb="2">
      <t>５ガツ</t>
    </rPh>
    <phoneticPr fontId="17"/>
  </si>
  <si>
    <r>
      <rPr>
        <sz val="6"/>
        <color theme="0"/>
        <rFont val="メイリオ"/>
        <family val="3"/>
        <charset val="128"/>
      </rPr>
      <t xml:space="preserve">上期
</t>
    </r>
    <r>
      <rPr>
        <sz val="6"/>
        <color theme="0"/>
        <rFont val="Arial"/>
        <family val="2"/>
      </rPr>
      <t>First Half</t>
    </r>
    <rPh sb="0" eb="2">
      <t>カミキ</t>
    </rPh>
    <phoneticPr fontId="17"/>
  </si>
  <si>
    <r>
      <rPr>
        <sz val="6"/>
        <color theme="0"/>
        <rFont val="メイリオ"/>
        <family val="3"/>
        <charset val="128"/>
      </rPr>
      <t xml:space="preserve">下期
</t>
    </r>
    <r>
      <rPr>
        <sz val="6"/>
        <color theme="0"/>
        <rFont val="Arial"/>
        <family val="2"/>
      </rPr>
      <t>Second Half</t>
    </r>
    <rPh sb="0" eb="2">
      <t>シモキ</t>
    </rPh>
    <phoneticPr fontId="17"/>
  </si>
  <si>
    <r>
      <rPr>
        <sz val="6"/>
        <color theme="0"/>
        <rFont val="メイリオ"/>
        <family val="3"/>
        <charset val="128"/>
      </rPr>
      <t xml:space="preserve">年度
</t>
    </r>
    <r>
      <rPr>
        <sz val="6"/>
        <color theme="0"/>
        <rFont val="Arial"/>
        <family val="2"/>
      </rPr>
      <t>Fiscal Year</t>
    </r>
    <rPh sb="0" eb="2">
      <t>ネンド</t>
    </rPh>
    <phoneticPr fontId="17"/>
  </si>
  <si>
    <r>
      <rPr>
        <sz val="7"/>
        <rFont val="メイリオ"/>
        <family val="3"/>
        <charset val="128"/>
      </rPr>
      <t xml:space="preserve">出品台数
</t>
    </r>
    <r>
      <rPr>
        <sz val="7"/>
        <rFont val="Arial"/>
        <family val="2"/>
      </rPr>
      <t>No. of Consigned Vehicles</t>
    </r>
    <rPh sb="0" eb="2">
      <t>シュッピン</t>
    </rPh>
    <rPh sb="2" eb="4">
      <t>ダイスウ</t>
    </rPh>
    <phoneticPr fontId="17"/>
  </si>
  <si>
    <r>
      <rPr>
        <sz val="6"/>
        <rFont val="メイリオ"/>
        <family val="3"/>
        <charset val="128"/>
      </rPr>
      <t xml:space="preserve">増減率
</t>
    </r>
    <r>
      <rPr>
        <sz val="6"/>
        <rFont val="Arial"/>
        <family val="2"/>
      </rPr>
      <t>YoY Changes</t>
    </r>
    <phoneticPr fontId="17"/>
  </si>
  <si>
    <r>
      <rPr>
        <sz val="6"/>
        <rFont val="メイリオ"/>
        <family val="3"/>
        <charset val="128"/>
      </rPr>
      <t xml:space="preserve">増減率
</t>
    </r>
    <r>
      <rPr>
        <sz val="6"/>
        <rFont val="Arial"/>
        <family val="2"/>
      </rPr>
      <t>YoY Changes</t>
    </r>
  </si>
  <si>
    <r>
      <rPr>
        <sz val="7"/>
        <rFont val="メイリオ"/>
        <family val="3"/>
        <charset val="128"/>
      </rPr>
      <t xml:space="preserve">成約台数
</t>
    </r>
    <r>
      <rPr>
        <sz val="7"/>
        <rFont val="Arial"/>
        <family val="2"/>
      </rPr>
      <t>No. of Contracted Vehicles</t>
    </r>
    <rPh sb="0" eb="2">
      <t>セイヤク</t>
    </rPh>
    <rPh sb="2" eb="4">
      <t>ダイスウ</t>
    </rPh>
    <phoneticPr fontId="17"/>
  </si>
  <si>
    <r>
      <rPr>
        <sz val="6"/>
        <rFont val="メイリオ"/>
        <family val="3"/>
        <charset val="128"/>
      </rPr>
      <t xml:space="preserve">増減率
</t>
    </r>
    <r>
      <rPr>
        <sz val="6"/>
        <rFont val="Arial"/>
        <family val="2"/>
      </rPr>
      <t>YoY Changes</t>
    </r>
    <rPh sb="0" eb="3">
      <t>ゾウゲンリツ</t>
    </rPh>
    <phoneticPr fontId="17"/>
  </si>
  <si>
    <r>
      <rPr>
        <sz val="7"/>
        <rFont val="メイリオ"/>
        <family val="3"/>
        <charset val="128"/>
      </rPr>
      <t xml:space="preserve">成約率
</t>
    </r>
    <r>
      <rPr>
        <sz val="7"/>
        <rFont val="Arial"/>
        <family val="2"/>
      </rPr>
      <t>Contract Completion Rate</t>
    </r>
    <rPh sb="0" eb="2">
      <t>セイヤク</t>
    </rPh>
    <rPh sb="2" eb="3">
      <t>リツ</t>
    </rPh>
    <phoneticPr fontId="17"/>
  </si>
  <si>
    <r>
      <rPr>
        <sz val="10"/>
        <rFont val="ＭＳ ゴシック"/>
        <family val="3"/>
        <charset val="128"/>
      </rPr>
      <t>参照資料：</t>
    </r>
    <rPh sb="0" eb="2">
      <t>サンショウ</t>
    </rPh>
    <rPh sb="2" eb="4">
      <t>シリョウ</t>
    </rPh>
    <phoneticPr fontId="17"/>
  </si>
  <si>
    <r>
      <t>\\10.51.3.13\</t>
    </r>
    <r>
      <rPr>
        <u/>
        <sz val="10"/>
        <color indexed="12"/>
        <rFont val="細明朝体"/>
        <family val="3"/>
        <charset val="128"/>
      </rPr>
      <t>財務部</t>
    </r>
    <r>
      <rPr>
        <u/>
        <sz val="10"/>
        <color indexed="12"/>
        <rFont val="Arial"/>
        <family val="2"/>
      </rPr>
      <t>\10_</t>
    </r>
    <r>
      <rPr>
        <u/>
        <sz val="10"/>
        <color indexed="12"/>
        <rFont val="細明朝体"/>
        <family val="3"/>
        <charset val="128"/>
      </rPr>
      <t>担当業務</t>
    </r>
    <r>
      <rPr>
        <u/>
        <sz val="10"/>
        <color indexed="12"/>
        <rFont val="Arial"/>
        <family val="2"/>
      </rPr>
      <t>\10_</t>
    </r>
    <r>
      <rPr>
        <u/>
        <sz val="10"/>
        <color indexed="12"/>
        <rFont val="細明朝体"/>
        <family val="3"/>
        <charset val="128"/>
      </rPr>
      <t>日次</t>
    </r>
    <r>
      <rPr>
        <u/>
        <sz val="10"/>
        <color indexed="12"/>
        <rFont val="Arial"/>
        <family val="2"/>
      </rPr>
      <t>\</t>
    </r>
    <r>
      <rPr>
        <u/>
        <sz val="10"/>
        <color indexed="12"/>
        <rFont val="細明朝体"/>
        <family val="3"/>
        <charset val="128"/>
      </rPr>
      <t>ＡＡ実績</t>
    </r>
    <r>
      <rPr>
        <u/>
        <sz val="10"/>
        <color indexed="12"/>
        <rFont val="Arial"/>
        <family val="2"/>
      </rPr>
      <t>\22.3</t>
    </r>
    <r>
      <rPr>
        <u/>
        <sz val="10"/>
        <color indexed="12"/>
        <rFont val="細明朝体"/>
        <family val="3"/>
        <charset val="128"/>
      </rPr>
      <t>期</t>
    </r>
    <r>
      <rPr>
        <u/>
        <sz val="10"/>
        <color indexed="12"/>
        <rFont val="Arial"/>
        <family val="2"/>
      </rPr>
      <t>(2021</t>
    </r>
    <r>
      <rPr>
        <u/>
        <sz val="10"/>
        <color indexed="12"/>
        <rFont val="細明朝体"/>
        <family val="3"/>
        <charset val="128"/>
      </rPr>
      <t>年</t>
    </r>
    <r>
      <rPr>
        <u/>
        <sz val="10"/>
        <color indexed="12"/>
        <rFont val="Arial"/>
        <family val="2"/>
      </rPr>
      <t>4</t>
    </r>
    <r>
      <rPr>
        <u/>
        <sz val="10"/>
        <color indexed="12"/>
        <rFont val="細明朝体"/>
        <family val="3"/>
        <charset val="128"/>
      </rPr>
      <t>月～</t>
    </r>
    <r>
      <rPr>
        <u/>
        <sz val="10"/>
        <color indexed="12"/>
        <rFont val="Arial"/>
        <family val="2"/>
      </rPr>
      <t>2022</t>
    </r>
    <r>
      <rPr>
        <u/>
        <sz val="10"/>
        <color indexed="12"/>
        <rFont val="細明朝体"/>
        <family val="3"/>
        <charset val="128"/>
      </rPr>
      <t>年</t>
    </r>
    <r>
      <rPr>
        <u/>
        <sz val="10"/>
        <color indexed="12"/>
        <rFont val="Arial"/>
        <family val="2"/>
      </rPr>
      <t>3</t>
    </r>
    <r>
      <rPr>
        <u/>
        <sz val="10"/>
        <color indexed="12"/>
        <rFont val="細明朝体"/>
        <family val="3"/>
        <charset val="128"/>
      </rPr>
      <t>月</t>
    </r>
    <r>
      <rPr>
        <u/>
        <sz val="10"/>
        <color indexed="12"/>
        <rFont val="Arial"/>
        <family val="2"/>
      </rPr>
      <t>)\10_</t>
    </r>
    <r>
      <rPr>
        <u/>
        <sz val="10"/>
        <color indexed="12"/>
        <rFont val="細明朝体"/>
        <family val="3"/>
        <charset val="128"/>
      </rPr>
      <t>会場別実績表</t>
    </r>
    <r>
      <rPr>
        <u/>
        <sz val="10"/>
        <color indexed="12"/>
        <rFont val="Arial"/>
        <family val="2"/>
      </rPr>
      <t>\2_</t>
    </r>
    <r>
      <rPr>
        <u/>
        <sz val="10"/>
        <color indexed="12"/>
        <rFont val="細明朝体"/>
        <family val="3"/>
        <charset val="128"/>
      </rPr>
      <t>実績表確定データ</t>
    </r>
  </si>
  <si>
    <r>
      <rPr>
        <sz val="10"/>
        <rFont val="ＭＳ ゴシック"/>
        <family val="3"/>
        <charset val="128"/>
      </rPr>
      <t>●実績表</t>
    </r>
    <r>
      <rPr>
        <sz val="10"/>
        <rFont val="Arial"/>
        <family val="2"/>
      </rPr>
      <t>2104-2203(</t>
    </r>
    <r>
      <rPr>
        <sz val="10"/>
        <rFont val="ＭＳ ゴシック"/>
        <family val="3"/>
        <charset val="128"/>
      </rPr>
      <t>社内予算</t>
    </r>
    <r>
      <rPr>
        <sz val="10"/>
        <rFont val="Arial"/>
        <family val="2"/>
      </rPr>
      <t>).xlsm</t>
    </r>
    <phoneticPr fontId="17"/>
  </si>
  <si>
    <r>
      <rPr>
        <sz val="10"/>
        <rFont val="ＭＳ ゴシック"/>
        <family val="3"/>
        <charset val="128"/>
      </rPr>
      <t>※過去</t>
    </r>
    <r>
      <rPr>
        <sz val="10"/>
        <rFont val="Arial"/>
        <family val="2"/>
      </rPr>
      <t>2</t>
    </r>
    <r>
      <rPr>
        <sz val="10"/>
        <rFont val="ＭＳ ゴシック"/>
        <family val="3"/>
        <charset val="128"/>
      </rPr>
      <t>年分はその年度のフォルダを参照</t>
    </r>
    <rPh sb="1" eb="3">
      <t>カコ</t>
    </rPh>
    <rPh sb="4" eb="6">
      <t>ネンブン</t>
    </rPh>
    <rPh sb="9" eb="11">
      <t>ネンド</t>
    </rPh>
    <rPh sb="17" eb="19">
      <t>サンショウ</t>
    </rPh>
    <phoneticPr fontId="17"/>
  </si>
  <si>
    <r>
      <rPr>
        <sz val="10"/>
        <rFont val="メイリオ"/>
        <family val="3"/>
        <charset val="128"/>
      </rPr>
      <t>※</t>
    </r>
    <r>
      <rPr>
        <sz val="10"/>
        <rFont val="Arial"/>
        <family val="2"/>
      </rPr>
      <t>2011</t>
    </r>
    <r>
      <rPr>
        <sz val="10"/>
        <rFont val="メイリオ"/>
        <family val="3"/>
        <charset val="128"/>
      </rPr>
      <t>年</t>
    </r>
    <r>
      <rPr>
        <sz val="10"/>
        <rFont val="Arial"/>
        <family val="2"/>
      </rPr>
      <t>3</t>
    </r>
    <r>
      <rPr>
        <sz val="10"/>
        <rFont val="メイリオ"/>
        <family val="3"/>
        <charset val="128"/>
      </rPr>
      <t>月</t>
    </r>
    <r>
      <rPr>
        <sz val="10"/>
        <rFont val="Arial"/>
        <family val="2"/>
      </rPr>
      <t>11</t>
    </r>
    <r>
      <rPr>
        <sz val="10"/>
        <rFont val="メイリオ"/>
        <family val="3"/>
        <charset val="128"/>
      </rPr>
      <t>日に発生した東日本大震災の影響により、</t>
    </r>
    <r>
      <rPr>
        <sz val="10"/>
        <rFont val="Arial"/>
        <family val="2"/>
      </rPr>
      <t>2011</t>
    </r>
    <r>
      <rPr>
        <sz val="10"/>
        <rFont val="メイリオ"/>
        <family val="3"/>
        <charset val="128"/>
      </rPr>
      <t>年</t>
    </r>
    <r>
      <rPr>
        <sz val="10"/>
        <rFont val="Arial"/>
        <family val="2"/>
      </rPr>
      <t>3</t>
    </r>
    <r>
      <rPr>
        <sz val="10"/>
        <rFont val="メイリオ"/>
        <family val="3"/>
        <charset val="128"/>
      </rPr>
      <t>月において、東京会場、横浜会場、流通会場で</t>
    </r>
    <r>
      <rPr>
        <sz val="10"/>
        <rFont val="Arial"/>
        <family val="2"/>
      </rPr>
      <t>1</t>
    </r>
    <r>
      <rPr>
        <sz val="10"/>
        <rFont val="メイリオ"/>
        <family val="3"/>
        <charset val="128"/>
      </rPr>
      <t>回、東北会場で</t>
    </r>
    <r>
      <rPr>
        <sz val="10"/>
        <rFont val="Arial"/>
        <family val="2"/>
      </rPr>
      <t>2</t>
    </r>
    <r>
      <rPr>
        <sz val="10"/>
        <rFont val="メイリオ"/>
        <family val="3"/>
        <charset val="128"/>
      </rPr>
      <t>回、合計</t>
    </r>
    <r>
      <rPr>
        <sz val="10"/>
        <rFont val="Arial"/>
        <family val="2"/>
      </rPr>
      <t>5</t>
    </r>
    <r>
      <rPr>
        <sz val="10"/>
        <rFont val="メイリオ"/>
        <family val="3"/>
        <charset val="128"/>
      </rPr>
      <t>回のオークションを休催しました。</t>
    </r>
    <rPh sb="5" eb="6">
      <t>ネン</t>
    </rPh>
    <rPh sb="7" eb="8">
      <t>ガツ</t>
    </rPh>
    <rPh sb="10" eb="11">
      <t>ニチ</t>
    </rPh>
    <rPh sb="12" eb="14">
      <t>ハッセイ</t>
    </rPh>
    <rPh sb="16" eb="17">
      <t>ヒガシ</t>
    </rPh>
    <rPh sb="17" eb="19">
      <t>ニホン</t>
    </rPh>
    <rPh sb="19" eb="20">
      <t>ダイ</t>
    </rPh>
    <rPh sb="20" eb="22">
      <t>シンサイ</t>
    </rPh>
    <rPh sb="23" eb="25">
      <t>エイキョウ</t>
    </rPh>
    <rPh sb="33" eb="34">
      <t>ネン</t>
    </rPh>
    <rPh sb="35" eb="36">
      <t>ガツ</t>
    </rPh>
    <rPh sb="41" eb="43">
      <t>トウキョウ</t>
    </rPh>
    <rPh sb="43" eb="45">
      <t>カイジョウ</t>
    </rPh>
    <rPh sb="46" eb="48">
      <t>ヨコハマ</t>
    </rPh>
    <rPh sb="48" eb="50">
      <t>カイジョウ</t>
    </rPh>
    <rPh sb="51" eb="53">
      <t>リュウツウ</t>
    </rPh>
    <rPh sb="53" eb="55">
      <t>カイジョウ</t>
    </rPh>
    <rPh sb="57" eb="58">
      <t>カイ</t>
    </rPh>
    <rPh sb="59" eb="61">
      <t>トウホク</t>
    </rPh>
    <rPh sb="61" eb="63">
      <t>カイジョウ</t>
    </rPh>
    <rPh sb="65" eb="66">
      <t>カイ</t>
    </rPh>
    <phoneticPr fontId="17"/>
  </si>
  <si>
    <r>
      <rPr>
        <sz val="10"/>
        <rFont val="メイリオ"/>
        <family val="3"/>
        <charset val="128"/>
      </rPr>
      <t>※</t>
    </r>
    <r>
      <rPr>
        <sz val="10"/>
        <rFont val="Arial"/>
        <family val="2"/>
      </rPr>
      <t>2017</t>
    </r>
    <r>
      <rPr>
        <sz val="10"/>
        <rFont val="メイリオ"/>
        <family val="3"/>
        <charset val="128"/>
      </rPr>
      <t>年</t>
    </r>
    <r>
      <rPr>
        <sz val="10"/>
        <rFont val="Arial"/>
        <family val="2"/>
      </rPr>
      <t>10</t>
    </r>
    <r>
      <rPr>
        <sz val="10"/>
        <rFont val="メイリオ"/>
        <family val="3"/>
        <charset val="128"/>
      </rPr>
      <t>月より</t>
    </r>
    <r>
      <rPr>
        <sz val="10"/>
        <rFont val="Arial"/>
        <family val="2"/>
      </rPr>
      <t>JAA</t>
    </r>
    <r>
      <rPr>
        <sz val="10"/>
        <rFont val="メイリオ"/>
        <family val="3"/>
        <charset val="128"/>
      </rPr>
      <t>、</t>
    </r>
    <r>
      <rPr>
        <sz val="10"/>
        <rFont val="Arial"/>
        <family val="2"/>
      </rPr>
      <t>HAA</t>
    </r>
    <r>
      <rPr>
        <sz val="10"/>
        <rFont val="メイリオ"/>
        <family val="3"/>
        <charset val="128"/>
      </rPr>
      <t>神戸の実績を含めております。</t>
    </r>
    <rPh sb="5" eb="6">
      <t>ネン</t>
    </rPh>
    <rPh sb="8" eb="9">
      <t>ガツ</t>
    </rPh>
    <rPh sb="18" eb="20">
      <t>コウベ</t>
    </rPh>
    <rPh sb="21" eb="23">
      <t>ジッセキ</t>
    </rPh>
    <rPh sb="24" eb="25">
      <t>フク</t>
    </rPh>
    <phoneticPr fontId="17"/>
  </si>
  <si>
    <r>
      <rPr>
        <sz val="10"/>
        <color rgb="FFFF0000"/>
        <rFont val="ＭＳ ゴシック"/>
        <family val="3"/>
        <charset val="128"/>
      </rPr>
      <t>以下のコメントは</t>
    </r>
    <r>
      <rPr>
        <sz val="10"/>
        <color rgb="FFFF0000"/>
        <rFont val="Arial"/>
        <family val="2"/>
      </rPr>
      <t>2021.3</t>
    </r>
    <r>
      <rPr>
        <sz val="10"/>
        <color rgb="FFFF0000"/>
        <rFont val="ＭＳ ゴシック"/>
        <family val="3"/>
        <charset val="128"/>
      </rPr>
      <t>期作成時に削除すること。</t>
    </r>
    <rPh sb="0" eb="2">
      <t>イカ</t>
    </rPh>
    <rPh sb="14" eb="15">
      <t>キ</t>
    </rPh>
    <rPh sb="15" eb="17">
      <t>サクセイ</t>
    </rPh>
    <rPh sb="17" eb="18">
      <t>ジ</t>
    </rPh>
    <rPh sb="19" eb="21">
      <t>サクジョ</t>
    </rPh>
    <phoneticPr fontId="17"/>
  </si>
  <si>
    <r>
      <t>4</t>
    </r>
    <r>
      <rPr>
        <sz val="6"/>
        <color theme="0"/>
        <rFont val="メイリオ"/>
        <family val="3"/>
        <charset val="128"/>
      </rPr>
      <t xml:space="preserve">月
</t>
    </r>
    <r>
      <rPr>
        <sz val="6"/>
        <color theme="0"/>
        <rFont val="Arial"/>
        <family val="2"/>
      </rPr>
      <t>Apr.</t>
    </r>
    <rPh sb="0" eb="2">
      <t>４ガツ</t>
    </rPh>
    <phoneticPr fontId="17"/>
  </si>
  <si>
    <r>
      <t>6</t>
    </r>
    <r>
      <rPr>
        <sz val="6"/>
        <color theme="0"/>
        <rFont val="メイリオ"/>
        <family val="3"/>
        <charset val="128"/>
      </rPr>
      <t xml:space="preserve">月
</t>
    </r>
    <r>
      <rPr>
        <sz val="6"/>
        <color theme="0"/>
        <rFont val="Arial"/>
        <family val="2"/>
      </rPr>
      <t>Jun.</t>
    </r>
    <rPh sb="0" eb="2">
      <t>６ガツ</t>
    </rPh>
    <phoneticPr fontId="17"/>
  </si>
  <si>
    <r>
      <t>7</t>
    </r>
    <r>
      <rPr>
        <sz val="6"/>
        <color theme="0"/>
        <rFont val="メイリオ"/>
        <family val="3"/>
        <charset val="128"/>
      </rPr>
      <t xml:space="preserve">月
</t>
    </r>
    <r>
      <rPr>
        <sz val="6"/>
        <color theme="0"/>
        <rFont val="Arial"/>
        <family val="2"/>
      </rPr>
      <t>Jul.</t>
    </r>
    <rPh sb="0" eb="2">
      <t>７ガツ</t>
    </rPh>
    <phoneticPr fontId="17"/>
  </si>
  <si>
    <r>
      <t>8</t>
    </r>
    <r>
      <rPr>
        <sz val="6"/>
        <color theme="0"/>
        <rFont val="メイリオ"/>
        <family val="3"/>
        <charset val="128"/>
      </rPr>
      <t xml:space="preserve">月
</t>
    </r>
    <r>
      <rPr>
        <sz val="6"/>
        <color theme="0"/>
        <rFont val="Arial"/>
        <family val="2"/>
      </rPr>
      <t>Aug.</t>
    </r>
    <rPh sb="0" eb="2">
      <t>８ガツ</t>
    </rPh>
    <phoneticPr fontId="17"/>
  </si>
  <si>
    <r>
      <t>9</t>
    </r>
    <r>
      <rPr>
        <sz val="6"/>
        <color theme="0"/>
        <rFont val="メイリオ"/>
        <family val="3"/>
        <charset val="128"/>
      </rPr>
      <t xml:space="preserve">月
</t>
    </r>
    <r>
      <rPr>
        <sz val="6"/>
        <color theme="0"/>
        <rFont val="Arial"/>
        <family val="2"/>
      </rPr>
      <t>Sep.</t>
    </r>
    <rPh sb="0" eb="2">
      <t>９ガツ</t>
    </rPh>
    <phoneticPr fontId="17"/>
  </si>
  <si>
    <r>
      <t>10</t>
    </r>
    <r>
      <rPr>
        <sz val="6"/>
        <color theme="0"/>
        <rFont val="メイリオ"/>
        <family val="3"/>
        <charset val="128"/>
      </rPr>
      <t xml:space="preserve">月
</t>
    </r>
    <r>
      <rPr>
        <sz val="6"/>
        <color theme="0"/>
        <rFont val="Arial"/>
        <family val="2"/>
      </rPr>
      <t>Oct.</t>
    </r>
    <rPh sb="0" eb="3">
      <t>１０ガツ</t>
    </rPh>
    <phoneticPr fontId="17"/>
  </si>
  <si>
    <r>
      <t>11</t>
    </r>
    <r>
      <rPr>
        <sz val="6"/>
        <color theme="0"/>
        <rFont val="メイリオ"/>
        <family val="3"/>
        <charset val="128"/>
      </rPr>
      <t xml:space="preserve">月
</t>
    </r>
    <r>
      <rPr>
        <sz val="6"/>
        <color theme="0"/>
        <rFont val="Arial"/>
        <family val="2"/>
      </rPr>
      <t>Nov.</t>
    </r>
    <rPh sb="0" eb="3">
      <t>１１ガツ</t>
    </rPh>
    <phoneticPr fontId="17"/>
  </si>
  <si>
    <r>
      <t>12</t>
    </r>
    <r>
      <rPr>
        <sz val="6"/>
        <color theme="0"/>
        <rFont val="メイリオ"/>
        <family val="3"/>
        <charset val="128"/>
      </rPr>
      <t xml:space="preserve">月
</t>
    </r>
    <r>
      <rPr>
        <sz val="6"/>
        <color theme="0"/>
        <rFont val="Arial"/>
        <family val="2"/>
      </rPr>
      <t>Dec.</t>
    </r>
    <rPh sb="0" eb="3">
      <t>１２ガツ</t>
    </rPh>
    <phoneticPr fontId="17"/>
  </si>
  <si>
    <r>
      <t>1</t>
    </r>
    <r>
      <rPr>
        <sz val="6"/>
        <color theme="0"/>
        <rFont val="メイリオ"/>
        <family val="3"/>
        <charset val="128"/>
      </rPr>
      <t xml:space="preserve">月
</t>
    </r>
    <r>
      <rPr>
        <sz val="6"/>
        <color theme="0"/>
        <rFont val="Arial"/>
        <family val="2"/>
      </rPr>
      <t>Jan.</t>
    </r>
    <rPh sb="0" eb="2">
      <t>１ガツ</t>
    </rPh>
    <phoneticPr fontId="17"/>
  </si>
  <si>
    <r>
      <t>2</t>
    </r>
    <r>
      <rPr>
        <sz val="6"/>
        <color theme="0"/>
        <rFont val="メイリオ"/>
        <family val="3"/>
        <charset val="128"/>
      </rPr>
      <t xml:space="preserve">月
</t>
    </r>
    <r>
      <rPr>
        <sz val="6"/>
        <color theme="0"/>
        <rFont val="Arial"/>
        <family val="2"/>
      </rPr>
      <t>Feb.</t>
    </r>
    <rPh sb="0" eb="2">
      <t>２ガツ</t>
    </rPh>
    <phoneticPr fontId="17"/>
  </si>
  <si>
    <r>
      <t>3</t>
    </r>
    <r>
      <rPr>
        <sz val="6"/>
        <color theme="0"/>
        <rFont val="メイリオ"/>
        <family val="3"/>
        <charset val="128"/>
      </rPr>
      <t xml:space="preserve">月
</t>
    </r>
    <r>
      <rPr>
        <sz val="6"/>
        <color theme="0"/>
        <rFont val="Arial"/>
        <family val="2"/>
      </rPr>
      <t>Mar.</t>
    </r>
    <rPh sb="0" eb="2">
      <t>３ガツ</t>
    </rPh>
    <phoneticPr fontId="17"/>
  </si>
  <si>
    <r>
      <rPr>
        <sz val="12"/>
        <rFont val="メイリオ"/>
        <family val="3"/>
        <charset val="128"/>
      </rPr>
      <t>データ入力欄</t>
    </r>
    <rPh sb="3" eb="5">
      <t>ニュウリョク</t>
    </rPh>
    <rPh sb="5" eb="6">
      <t>ラン</t>
    </rPh>
    <phoneticPr fontId="29"/>
  </si>
  <si>
    <r>
      <rPr>
        <sz val="12"/>
        <rFont val="メイリオ"/>
        <family val="3"/>
        <charset val="128"/>
      </rPr>
      <t>※セグメント数字</t>
    </r>
    <rPh sb="6" eb="8">
      <t>スウジ</t>
    </rPh>
    <phoneticPr fontId="29"/>
  </si>
  <si>
    <r>
      <rPr>
        <sz val="10"/>
        <rFont val="メイリオ"/>
        <family val="3"/>
        <charset val="128"/>
      </rPr>
      <t>増減率</t>
    </r>
    <rPh sb="0" eb="2">
      <t>ゾウゲン</t>
    </rPh>
    <rPh sb="2" eb="3">
      <t>リツ</t>
    </rPh>
    <phoneticPr fontId="29"/>
  </si>
  <si>
    <r>
      <rPr>
        <sz val="10"/>
        <rFont val="メイリオ"/>
        <family val="3"/>
        <charset val="128"/>
      </rPr>
      <t>過去</t>
    </r>
    <r>
      <rPr>
        <sz val="10"/>
        <rFont val="Arial"/>
        <family val="2"/>
      </rPr>
      <t>10</t>
    </r>
    <r>
      <rPr>
        <sz val="10"/>
        <rFont val="メイリオ"/>
        <family val="3"/>
        <charset val="128"/>
      </rPr>
      <t>年
平均増減率</t>
    </r>
    <rPh sb="0" eb="2">
      <t>カコ</t>
    </rPh>
    <rPh sb="4" eb="5">
      <t>ネン</t>
    </rPh>
    <rPh sb="6" eb="8">
      <t>ヘイキン</t>
    </rPh>
    <rPh sb="8" eb="10">
      <t>ゾウゲン</t>
    </rPh>
    <rPh sb="10" eb="11">
      <t>リツ</t>
    </rPh>
    <phoneticPr fontId="29"/>
  </si>
  <si>
    <r>
      <rPr>
        <sz val="12"/>
        <rFont val="メイリオ"/>
        <family val="3"/>
        <charset val="128"/>
      </rPr>
      <t>オートオークション　</t>
    </r>
    <r>
      <rPr>
        <sz val="12"/>
        <rFont val="Arial"/>
        <family val="2"/>
      </rPr>
      <t>Auto Auction Business</t>
    </r>
    <phoneticPr fontId="29"/>
  </si>
  <si>
    <r>
      <rPr>
        <sz val="12"/>
        <rFont val="メイリオ"/>
        <family val="3"/>
        <charset val="128"/>
      </rPr>
      <t>売上高</t>
    </r>
    <rPh sb="0" eb="2">
      <t>ウリアゲ</t>
    </rPh>
    <rPh sb="2" eb="3">
      <t>ダカ</t>
    </rPh>
    <phoneticPr fontId="29"/>
  </si>
  <si>
    <r>
      <rPr>
        <sz val="12"/>
        <rFont val="メイリオ"/>
        <family val="3"/>
        <charset val="128"/>
      </rPr>
      <t>営業利益</t>
    </r>
    <rPh sb="0" eb="2">
      <t>エイギョウ</t>
    </rPh>
    <rPh sb="2" eb="4">
      <t>リエキ</t>
    </rPh>
    <phoneticPr fontId="29"/>
  </si>
  <si>
    <r>
      <rPr>
        <sz val="12"/>
        <rFont val="メイリオ"/>
        <family val="3"/>
        <charset val="128"/>
      </rPr>
      <t>営業利益率</t>
    </r>
    <rPh sb="0" eb="2">
      <t>エイギョウ</t>
    </rPh>
    <rPh sb="2" eb="4">
      <t>リエキ</t>
    </rPh>
    <rPh sb="4" eb="5">
      <t>リツ</t>
    </rPh>
    <phoneticPr fontId="29"/>
  </si>
  <si>
    <r>
      <rPr>
        <sz val="12"/>
        <rFont val="メイリオ"/>
        <family val="3"/>
        <charset val="128"/>
      </rPr>
      <t>中古自動車等買取販売　</t>
    </r>
    <r>
      <rPr>
        <sz val="12"/>
        <rFont val="Arial"/>
        <family val="2"/>
      </rPr>
      <t>Used Vehicle Sales/Purchases</t>
    </r>
    <rPh sb="0" eb="2">
      <t>チュウコ</t>
    </rPh>
    <rPh sb="2" eb="5">
      <t>ジドウシャ</t>
    </rPh>
    <rPh sb="5" eb="6">
      <t>トウ</t>
    </rPh>
    <rPh sb="6" eb="8">
      <t>カイトリ</t>
    </rPh>
    <rPh sb="8" eb="10">
      <t>ハンバイ</t>
    </rPh>
    <phoneticPr fontId="29"/>
  </si>
  <si>
    <r>
      <rPr>
        <sz val="12"/>
        <rFont val="メイリオ"/>
        <family val="3"/>
        <charset val="128"/>
      </rPr>
      <t>消去または全社</t>
    </r>
    <rPh sb="0" eb="2">
      <t>ショウキョ</t>
    </rPh>
    <rPh sb="5" eb="7">
      <t>ゼンシャ</t>
    </rPh>
    <phoneticPr fontId="29"/>
  </si>
  <si>
    <r>
      <rPr>
        <sz val="12"/>
        <rFont val="メイリオ"/>
        <family val="3"/>
        <charset val="128"/>
      </rPr>
      <t>連結</t>
    </r>
    <rPh sb="0" eb="2">
      <t>レンケツ</t>
    </rPh>
    <phoneticPr fontId="29"/>
  </si>
  <si>
    <r>
      <rPr>
        <sz val="12"/>
        <rFont val="メイリオ"/>
        <family val="3"/>
        <charset val="128"/>
      </rPr>
      <t>グラフ作成用</t>
    </r>
    <rPh sb="3" eb="5">
      <t>サクセイ</t>
    </rPh>
    <rPh sb="5" eb="6">
      <t>ヨウ</t>
    </rPh>
    <phoneticPr fontId="29"/>
  </si>
  <si>
    <r>
      <rPr>
        <sz val="12"/>
        <rFont val="メイリオ"/>
        <family val="3"/>
        <charset val="128"/>
      </rPr>
      <t>増減率</t>
    </r>
    <rPh sb="0" eb="2">
      <t>ゾウゲン</t>
    </rPh>
    <rPh sb="2" eb="3">
      <t>リツ</t>
    </rPh>
    <phoneticPr fontId="29"/>
  </si>
  <si>
    <r>
      <rPr>
        <sz val="12"/>
        <rFont val="メイリオ"/>
        <family val="3"/>
        <charset val="128"/>
      </rPr>
      <t xml:space="preserve">オートオークション
</t>
    </r>
    <r>
      <rPr>
        <sz val="12"/>
        <rFont val="Arial"/>
        <family val="2"/>
      </rPr>
      <t>Auto Auction Business</t>
    </r>
    <phoneticPr fontId="29"/>
  </si>
  <si>
    <r>
      <rPr>
        <sz val="12"/>
        <rFont val="メイリオ"/>
        <family val="3"/>
        <charset val="128"/>
      </rPr>
      <t xml:space="preserve">営業利益率
</t>
    </r>
    <r>
      <rPr>
        <sz val="12"/>
        <rFont val="Arial"/>
        <family val="2"/>
      </rPr>
      <t>Operating Margin</t>
    </r>
    <rPh sb="0" eb="2">
      <t>エイギョウ</t>
    </rPh>
    <rPh sb="2" eb="4">
      <t>リエキ</t>
    </rPh>
    <rPh sb="4" eb="5">
      <t>リツ</t>
    </rPh>
    <phoneticPr fontId="29"/>
  </si>
  <si>
    <r>
      <rPr>
        <sz val="12"/>
        <rFont val="メイリオ"/>
        <family val="3"/>
        <charset val="128"/>
      </rPr>
      <t xml:space="preserve">中古自動車等買取販売
</t>
    </r>
    <r>
      <rPr>
        <sz val="12"/>
        <rFont val="Arial"/>
        <family val="2"/>
      </rPr>
      <t>Used Vehicle Sales/Purchases Business</t>
    </r>
    <rPh sb="0" eb="2">
      <t>チュウコ</t>
    </rPh>
    <rPh sb="2" eb="5">
      <t>ジドウシャ</t>
    </rPh>
    <rPh sb="5" eb="6">
      <t>トウ</t>
    </rPh>
    <rPh sb="6" eb="8">
      <t>カイトリ</t>
    </rPh>
    <rPh sb="8" eb="10">
      <t>ハンバイ</t>
    </rPh>
    <phoneticPr fontId="29"/>
  </si>
  <si>
    <r>
      <rPr>
        <sz val="12"/>
        <rFont val="メイリオ"/>
        <family val="3"/>
        <charset val="128"/>
      </rPr>
      <t>営業利益率　</t>
    </r>
    <r>
      <rPr>
        <sz val="12"/>
        <rFont val="Arial"/>
        <family val="2"/>
      </rPr>
      <t>Operating Margin</t>
    </r>
    <rPh sb="0" eb="2">
      <t>エイギョウ</t>
    </rPh>
    <rPh sb="2" eb="4">
      <t>リエキ</t>
    </rPh>
    <rPh sb="4" eb="5">
      <t>リツ</t>
    </rPh>
    <phoneticPr fontId="29"/>
  </si>
  <si>
    <r>
      <rPr>
        <sz val="11"/>
        <rFont val="メイリオ"/>
        <family val="3"/>
        <charset val="128"/>
      </rPr>
      <t>＜注意事項＞</t>
    </r>
    <rPh sb="1" eb="3">
      <t>チュウイ</t>
    </rPh>
    <rPh sb="3" eb="5">
      <t>ジコウ</t>
    </rPh>
    <phoneticPr fontId="29"/>
  </si>
  <si>
    <r>
      <rPr>
        <sz val="11"/>
        <rFont val="メイリオ"/>
        <family val="3"/>
        <charset val="128"/>
      </rPr>
      <t>　●中古自動車等買取販売の</t>
    </r>
    <r>
      <rPr>
        <sz val="11"/>
        <rFont val="Arial"/>
        <family val="2"/>
      </rPr>
      <t>2018</t>
    </r>
    <r>
      <rPr>
        <sz val="11"/>
        <rFont val="メイリオ"/>
        <family val="3"/>
        <charset val="128"/>
      </rPr>
      <t>年</t>
    </r>
    <r>
      <rPr>
        <sz val="11"/>
        <rFont val="Arial"/>
        <family val="2"/>
      </rPr>
      <t>3</t>
    </r>
    <r>
      <rPr>
        <sz val="11"/>
        <rFont val="メイリオ"/>
        <family val="3"/>
        <charset val="128"/>
      </rPr>
      <t>月期が黒字であれば、項目名から「損失」の文言を削除する。</t>
    </r>
    <r>
      <rPr>
        <sz val="11"/>
        <rFont val="Arial"/>
        <family val="2"/>
      </rPr>
      <t>(</t>
    </r>
    <r>
      <rPr>
        <sz val="11"/>
        <rFont val="メイリオ"/>
        <family val="3"/>
        <charset val="128"/>
      </rPr>
      <t>英語も</t>
    </r>
    <r>
      <rPr>
        <sz val="11"/>
        <rFont val="Arial"/>
        <family val="2"/>
      </rPr>
      <t>)</t>
    </r>
    <rPh sb="2" eb="4">
      <t>チュウコ</t>
    </rPh>
    <rPh sb="4" eb="7">
      <t>ジドウシャ</t>
    </rPh>
    <rPh sb="7" eb="8">
      <t>トウ</t>
    </rPh>
    <rPh sb="8" eb="10">
      <t>カイトリ</t>
    </rPh>
    <rPh sb="10" eb="12">
      <t>ハンバイ</t>
    </rPh>
    <rPh sb="17" eb="18">
      <t>ネン</t>
    </rPh>
    <rPh sb="19" eb="21">
      <t>ガツキ</t>
    </rPh>
    <rPh sb="22" eb="24">
      <t>クロジ</t>
    </rPh>
    <rPh sb="29" eb="31">
      <t>コウモク</t>
    </rPh>
    <rPh sb="31" eb="32">
      <t>メイ</t>
    </rPh>
    <rPh sb="35" eb="37">
      <t>ソンシツ</t>
    </rPh>
    <rPh sb="39" eb="41">
      <t>モンゴン</t>
    </rPh>
    <rPh sb="42" eb="44">
      <t>サクジョ</t>
    </rPh>
    <rPh sb="48" eb="50">
      <t>エイゴ</t>
    </rPh>
    <phoneticPr fontId="29"/>
  </si>
  <si>
    <r>
      <rPr>
        <sz val="11"/>
        <rFont val="メイリオ"/>
        <family val="3"/>
        <charset val="128"/>
      </rPr>
      <t>　●</t>
    </r>
    <r>
      <rPr>
        <sz val="11"/>
        <rFont val="Arial"/>
        <family val="2"/>
      </rPr>
      <t>2020.3</t>
    </r>
    <r>
      <rPr>
        <sz val="11"/>
        <rFont val="メイリオ"/>
        <family val="3"/>
        <charset val="128"/>
      </rPr>
      <t>期よりその他に</t>
    </r>
    <r>
      <rPr>
        <sz val="11"/>
        <rFont val="Arial"/>
        <family val="2"/>
      </rPr>
      <t>smart</t>
    </r>
    <r>
      <rPr>
        <sz val="11"/>
        <rFont val="メイリオ"/>
        <family val="3"/>
        <charset val="128"/>
      </rPr>
      <t>含む</t>
    </r>
    <rPh sb="8" eb="9">
      <t>キ</t>
    </rPh>
    <rPh sb="13" eb="14">
      <t>タ</t>
    </rPh>
    <rPh sb="20" eb="21">
      <t>フク</t>
    </rPh>
    <phoneticPr fontId="29"/>
  </si>
  <si>
    <r>
      <rPr>
        <sz val="11"/>
        <rFont val="メイリオ"/>
        <family val="3"/>
        <charset val="128"/>
      </rPr>
      <t>※参照資料：</t>
    </r>
    <r>
      <rPr>
        <sz val="11"/>
        <rFont val="Arial"/>
        <family val="2"/>
      </rPr>
      <t>D2100_</t>
    </r>
    <r>
      <rPr>
        <sz val="11"/>
        <rFont val="メイリオ"/>
        <family val="3"/>
        <charset val="128"/>
      </rPr>
      <t>●●</t>
    </r>
    <r>
      <rPr>
        <sz val="11"/>
        <rFont val="Arial"/>
        <family val="2"/>
      </rPr>
      <t>03</t>
    </r>
    <r>
      <rPr>
        <sz val="11"/>
        <rFont val="メイリオ"/>
        <family val="3"/>
        <charset val="128"/>
      </rPr>
      <t>セグメント</t>
    </r>
    <r>
      <rPr>
        <sz val="11"/>
        <rFont val="Arial"/>
        <family val="2"/>
      </rPr>
      <t>Ver1.0.3.xls</t>
    </r>
    <phoneticPr fontId="29"/>
  </si>
  <si>
    <r>
      <rPr>
        <sz val="8"/>
        <rFont val="メイリオ"/>
        <family val="3"/>
        <charset val="128"/>
      </rPr>
      <t>※</t>
    </r>
    <r>
      <rPr>
        <sz val="8"/>
        <rFont val="Arial"/>
        <family val="2"/>
      </rPr>
      <t>2023</t>
    </r>
    <r>
      <rPr>
        <sz val="8"/>
        <rFont val="メイリオ"/>
        <family val="3"/>
        <charset val="128"/>
      </rPr>
      <t>年</t>
    </r>
    <r>
      <rPr>
        <sz val="8"/>
        <rFont val="Arial"/>
        <family val="2"/>
      </rPr>
      <t>3</t>
    </r>
    <r>
      <rPr>
        <sz val="8"/>
        <rFont val="メイリオ"/>
        <family val="3"/>
        <charset val="128"/>
      </rPr>
      <t>月期より、「その他」に含まれていた「リサイクル」を報告セグメントとし、</t>
    </r>
    <r>
      <rPr>
        <sz val="8"/>
        <rFont val="Arial"/>
        <family val="2"/>
      </rPr>
      <t>2022</t>
    </r>
    <r>
      <rPr>
        <sz val="8"/>
        <rFont val="メイリオ"/>
        <family val="3"/>
        <charset val="128"/>
      </rPr>
      <t>年</t>
    </r>
    <r>
      <rPr>
        <sz val="8"/>
        <rFont val="Arial"/>
        <family val="2"/>
      </rPr>
      <t>3</t>
    </r>
    <r>
      <rPr>
        <sz val="8"/>
        <rFont val="メイリオ"/>
        <family val="3"/>
        <charset val="128"/>
      </rPr>
      <t>月期以前の数値は変更後の区分に基づき作成しております。</t>
    </r>
    <phoneticPr fontId="29"/>
  </si>
  <si>
    <r>
      <t xml:space="preserve"> </t>
    </r>
    <r>
      <rPr>
        <sz val="8"/>
        <rFont val="メイリオ"/>
        <family val="3"/>
        <charset val="128"/>
      </rPr>
      <t xml:space="preserve">オートオークション
</t>
    </r>
    <r>
      <rPr>
        <sz val="8"/>
        <rFont val="Arial"/>
        <family val="2"/>
      </rPr>
      <t xml:space="preserve"> Auto Auction Business</t>
    </r>
    <phoneticPr fontId="29"/>
  </si>
  <si>
    <r>
      <t xml:space="preserve"> </t>
    </r>
    <r>
      <rPr>
        <sz val="8"/>
        <rFont val="メイリオ"/>
        <family val="3"/>
        <charset val="128"/>
      </rPr>
      <t>売上高　</t>
    </r>
    <r>
      <rPr>
        <sz val="8"/>
        <rFont val="Arial"/>
        <family val="2"/>
      </rPr>
      <t>Net Sales</t>
    </r>
    <rPh sb="1" eb="3">
      <t>ウリアゲ</t>
    </rPh>
    <rPh sb="3" eb="4">
      <t>ダカ</t>
    </rPh>
    <phoneticPr fontId="29"/>
  </si>
  <si>
    <r>
      <t xml:space="preserve"> </t>
    </r>
    <r>
      <rPr>
        <sz val="8"/>
        <rFont val="メイリオ"/>
        <family val="3"/>
        <charset val="128"/>
      </rPr>
      <t>営業利益　</t>
    </r>
    <r>
      <rPr>
        <sz val="8"/>
        <rFont val="Arial"/>
        <family val="2"/>
      </rPr>
      <t>Operating Profit</t>
    </r>
    <rPh sb="1" eb="3">
      <t>エイギョウ</t>
    </rPh>
    <rPh sb="3" eb="5">
      <t>リエキ</t>
    </rPh>
    <phoneticPr fontId="29"/>
  </si>
  <si>
    <r>
      <t xml:space="preserve"> </t>
    </r>
    <r>
      <rPr>
        <sz val="8"/>
        <rFont val="メイリオ"/>
        <family val="3"/>
        <charset val="128"/>
      </rPr>
      <t>営業利益率　</t>
    </r>
    <r>
      <rPr>
        <sz val="8"/>
        <rFont val="Arial"/>
        <family val="2"/>
      </rPr>
      <t>Operating Margin</t>
    </r>
    <rPh sb="1" eb="3">
      <t>エイギョウ</t>
    </rPh>
    <rPh sb="3" eb="5">
      <t>リエキ</t>
    </rPh>
    <rPh sb="5" eb="6">
      <t>リツ</t>
    </rPh>
    <phoneticPr fontId="29"/>
  </si>
  <si>
    <r>
      <t xml:space="preserve"> </t>
    </r>
    <r>
      <rPr>
        <sz val="8"/>
        <rFont val="メイリオ"/>
        <family val="3"/>
        <charset val="128"/>
      </rPr>
      <t xml:space="preserve">中古自動車等買取販売
</t>
    </r>
    <r>
      <rPr>
        <sz val="8"/>
        <rFont val="Arial"/>
        <family val="2"/>
      </rPr>
      <t xml:space="preserve"> Used Vehicle Sales/
 Purchases Business</t>
    </r>
    <rPh sb="1" eb="3">
      <t>チュウコ</t>
    </rPh>
    <rPh sb="3" eb="6">
      <t>ジドウシャ</t>
    </rPh>
    <rPh sb="6" eb="7">
      <t>トウ</t>
    </rPh>
    <rPh sb="7" eb="9">
      <t>カイトリ</t>
    </rPh>
    <rPh sb="9" eb="11">
      <t>ハンバイ</t>
    </rPh>
    <phoneticPr fontId="29"/>
  </si>
  <si>
    <r>
      <t xml:space="preserve"> </t>
    </r>
    <r>
      <rPr>
        <sz val="8"/>
        <rFont val="メイリオ"/>
        <family val="3"/>
        <charset val="128"/>
      </rPr>
      <t>消去または全社</t>
    </r>
    <r>
      <rPr>
        <sz val="8"/>
        <rFont val="Arial"/>
        <family val="2"/>
      </rPr>
      <t xml:space="preserve"> 
 Elimination of  Inter-
 segment Transactions</t>
    </r>
    <rPh sb="1" eb="3">
      <t>ショウキョ</t>
    </rPh>
    <rPh sb="6" eb="8">
      <t>ゼンシャ</t>
    </rPh>
    <phoneticPr fontId="29"/>
  </si>
  <si>
    <r>
      <t xml:space="preserve"> </t>
    </r>
    <r>
      <rPr>
        <sz val="8"/>
        <rFont val="メイリオ"/>
        <family val="3"/>
        <charset val="128"/>
      </rPr>
      <t xml:space="preserve">連結
</t>
    </r>
    <r>
      <rPr>
        <sz val="8"/>
        <rFont val="Arial"/>
        <family val="2"/>
      </rPr>
      <t xml:space="preserve"> Consolidated Total</t>
    </r>
    <rPh sb="1" eb="3">
      <t>レンケツ</t>
    </rPh>
    <phoneticPr fontId="29"/>
  </si>
  <si>
    <r>
      <t>&lt;</t>
    </r>
    <r>
      <rPr>
        <sz val="10"/>
        <rFont val="ＭＳ ゴシック"/>
        <family val="3"/>
        <charset val="128"/>
      </rPr>
      <t>データ入力用＞</t>
    </r>
    <rPh sb="4" eb="6">
      <t>ニュウリョク</t>
    </rPh>
    <rPh sb="6" eb="7">
      <t>ヨウ</t>
    </rPh>
    <phoneticPr fontId="17"/>
  </si>
  <si>
    <r>
      <rPr>
        <sz val="10"/>
        <rFont val="ＭＳ Ｐゴシック"/>
        <family val="3"/>
        <charset val="128"/>
      </rPr>
      <t>過去</t>
    </r>
    <r>
      <rPr>
        <sz val="10"/>
        <rFont val="Arial"/>
        <family val="2"/>
      </rPr>
      <t>10</t>
    </r>
    <r>
      <rPr>
        <sz val="10"/>
        <rFont val="ＭＳ Ｐゴシック"/>
        <family val="3"/>
        <charset val="128"/>
      </rPr>
      <t>年
平均増減率</t>
    </r>
    <rPh sb="0" eb="2">
      <t>カコ</t>
    </rPh>
    <rPh sb="4" eb="5">
      <t>ネン</t>
    </rPh>
    <rPh sb="6" eb="8">
      <t>ヘイキン</t>
    </rPh>
    <phoneticPr fontId="17"/>
  </si>
  <si>
    <r>
      <rPr>
        <sz val="10"/>
        <rFont val="ＭＳ ゴシック"/>
        <family val="3"/>
        <charset val="128"/>
      </rPr>
      <t>ｾｸﾞﾒﾝﾄｼｰﾄ照合</t>
    </r>
    <rPh sb="9" eb="11">
      <t>ショウゴウ</t>
    </rPh>
    <phoneticPr fontId="17"/>
  </si>
  <si>
    <r>
      <rPr>
        <sz val="10"/>
        <rFont val="ＭＳ Ｐゴシック"/>
        <family val="3"/>
        <charset val="128"/>
      </rPr>
      <t>売上高　</t>
    </r>
    <r>
      <rPr>
        <sz val="10"/>
        <rFont val="Arial"/>
        <family val="2"/>
      </rPr>
      <t>Net Sales</t>
    </r>
    <rPh sb="0" eb="2">
      <t>ウリアゲ</t>
    </rPh>
    <rPh sb="2" eb="3">
      <t>ダカ</t>
    </rPh>
    <phoneticPr fontId="17"/>
  </si>
  <si>
    <r>
      <t xml:space="preserve"> </t>
    </r>
    <r>
      <rPr>
        <sz val="7"/>
        <rFont val="メイリオ"/>
        <family val="3"/>
        <charset val="128"/>
      </rPr>
      <t>営業利益　</t>
    </r>
    <r>
      <rPr>
        <sz val="7"/>
        <rFont val="Arial"/>
        <family val="2"/>
      </rPr>
      <t>Operating Profit</t>
    </r>
    <rPh sb="1" eb="3">
      <t>エイギョウ</t>
    </rPh>
    <rPh sb="3" eb="5">
      <t>リエキ</t>
    </rPh>
    <phoneticPr fontId="17"/>
  </si>
  <si>
    <r>
      <rPr>
        <sz val="10"/>
        <rFont val="ＭＳ Ｐゴシック"/>
        <family val="3"/>
        <charset val="128"/>
      </rPr>
      <t>営業利益　</t>
    </r>
    <r>
      <rPr>
        <sz val="10"/>
        <rFont val="Arial"/>
        <family val="2"/>
      </rPr>
      <t>Operating Income</t>
    </r>
    <rPh sb="0" eb="2">
      <t>エイギョウ</t>
    </rPh>
    <rPh sb="2" eb="4">
      <t>リエキ</t>
    </rPh>
    <phoneticPr fontId="17"/>
  </si>
  <si>
    <r>
      <t xml:space="preserve"> </t>
    </r>
    <r>
      <rPr>
        <sz val="7"/>
        <rFont val="メイリオ"/>
        <family val="3"/>
        <charset val="128"/>
      </rPr>
      <t>営業利益率　</t>
    </r>
    <r>
      <rPr>
        <sz val="7"/>
        <rFont val="Arial"/>
        <family val="2"/>
      </rPr>
      <t>Operating Margin</t>
    </r>
    <rPh sb="1" eb="3">
      <t>エイギョウ</t>
    </rPh>
    <rPh sb="3" eb="5">
      <t>リエキ</t>
    </rPh>
    <rPh sb="5" eb="6">
      <t>リツ</t>
    </rPh>
    <phoneticPr fontId="17"/>
  </si>
  <si>
    <r>
      <rPr>
        <sz val="10"/>
        <rFont val="ＭＳ Ｐゴシック"/>
        <family val="3"/>
        <charset val="128"/>
      </rPr>
      <t>営業利益率　</t>
    </r>
    <r>
      <rPr>
        <sz val="10"/>
        <rFont val="Arial"/>
        <family val="2"/>
      </rPr>
      <t>Operating Margin</t>
    </r>
    <rPh sb="0" eb="2">
      <t>エイギョウ</t>
    </rPh>
    <rPh sb="2" eb="4">
      <t>リエキ</t>
    </rPh>
    <rPh sb="4" eb="5">
      <t>リツ</t>
    </rPh>
    <phoneticPr fontId="17"/>
  </si>
  <si>
    <r>
      <t>&lt;</t>
    </r>
    <r>
      <rPr>
        <sz val="10"/>
        <rFont val="ＭＳ ゴシック"/>
        <family val="3"/>
        <charset val="128"/>
      </rPr>
      <t>グラフ作成用＞</t>
    </r>
    <rPh sb="4" eb="6">
      <t>サクセイ</t>
    </rPh>
    <rPh sb="6" eb="7">
      <t>ヨウ</t>
    </rPh>
    <phoneticPr fontId="17"/>
  </si>
  <si>
    <r>
      <t>10</t>
    </r>
    <r>
      <rPr>
        <sz val="10"/>
        <rFont val="ＭＳ Ｐゴシック"/>
        <family val="3"/>
        <charset val="128"/>
      </rPr>
      <t>年増減率</t>
    </r>
    <rPh sb="2" eb="3">
      <t>ネン</t>
    </rPh>
    <rPh sb="3" eb="5">
      <t>ゾウゲン</t>
    </rPh>
    <rPh sb="5" eb="6">
      <t>リツ</t>
    </rPh>
    <phoneticPr fontId="17"/>
  </si>
  <si>
    <r>
      <t>&lt;</t>
    </r>
    <r>
      <rPr>
        <sz val="10"/>
        <rFont val="ＭＳ Ｐゴシック"/>
        <family val="3"/>
        <charset val="128"/>
      </rPr>
      <t>オートオークション</t>
    </r>
    <r>
      <rPr>
        <sz val="10"/>
        <rFont val="Arial"/>
        <family val="2"/>
      </rPr>
      <t>&gt;</t>
    </r>
    <phoneticPr fontId="17"/>
  </si>
  <si>
    <r>
      <rPr>
        <sz val="10"/>
        <rFont val="ＭＳ Ｐゴシック"/>
        <family val="3"/>
        <charset val="128"/>
      </rPr>
      <t xml:space="preserve">売上高
</t>
    </r>
    <r>
      <rPr>
        <sz val="10"/>
        <rFont val="Arial"/>
        <family val="2"/>
      </rPr>
      <t>Net Sales</t>
    </r>
    <rPh sb="0" eb="2">
      <t>ウリアゲ</t>
    </rPh>
    <rPh sb="2" eb="3">
      <t>ダカ</t>
    </rPh>
    <phoneticPr fontId="17"/>
  </si>
  <si>
    <r>
      <rPr>
        <sz val="10"/>
        <rFont val="ＭＳ Ｐゴシック"/>
        <family val="3"/>
        <charset val="128"/>
      </rPr>
      <t xml:space="preserve">営業利益
</t>
    </r>
    <r>
      <rPr>
        <sz val="10"/>
        <rFont val="Arial"/>
        <family val="2"/>
      </rPr>
      <t>Operating Income</t>
    </r>
    <rPh sb="0" eb="2">
      <t>エイギョウ</t>
    </rPh>
    <rPh sb="2" eb="4">
      <t>リエキ</t>
    </rPh>
    <phoneticPr fontId="17"/>
  </si>
  <si>
    <r>
      <rPr>
        <sz val="10"/>
        <rFont val="ＭＳ Ｐゴシック"/>
        <family val="3"/>
        <charset val="128"/>
      </rPr>
      <t xml:space="preserve">営業利益率
</t>
    </r>
    <r>
      <rPr>
        <sz val="10"/>
        <rFont val="Arial"/>
        <family val="2"/>
      </rPr>
      <t>Operating Margin</t>
    </r>
    <rPh sb="0" eb="2">
      <t>エイギョウ</t>
    </rPh>
    <rPh sb="2" eb="4">
      <t>リエキ</t>
    </rPh>
    <rPh sb="4" eb="5">
      <t>リツ</t>
    </rPh>
    <phoneticPr fontId="17"/>
  </si>
  <si>
    <r>
      <rPr>
        <sz val="10"/>
        <rFont val="ＭＳ ゴシック"/>
        <family val="3"/>
        <charset val="128"/>
      </rPr>
      <t>※参照資料：</t>
    </r>
    <r>
      <rPr>
        <sz val="10"/>
        <rFont val="Arial"/>
        <family val="2"/>
      </rPr>
      <t>D2100_</t>
    </r>
    <r>
      <rPr>
        <sz val="10"/>
        <rFont val="ＭＳ ゴシック"/>
        <family val="3"/>
        <charset val="128"/>
      </rPr>
      <t>●●</t>
    </r>
    <r>
      <rPr>
        <sz val="10"/>
        <rFont val="Arial"/>
        <family val="2"/>
      </rPr>
      <t>03</t>
    </r>
    <r>
      <rPr>
        <sz val="10"/>
        <rFont val="ＭＳ ゴシック"/>
        <family val="3"/>
        <charset val="128"/>
      </rPr>
      <t>セグメント</t>
    </r>
    <r>
      <rPr>
        <sz val="10"/>
        <rFont val="Arial"/>
        <family val="2"/>
      </rPr>
      <t>Ver1.0.3.xls</t>
    </r>
  </si>
  <si>
    <r>
      <t>&lt;</t>
    </r>
    <r>
      <rPr>
        <sz val="10"/>
        <rFont val="ＭＳ ゴシック"/>
        <family val="3"/>
        <charset val="128"/>
      </rPr>
      <t>データ入力</t>
    </r>
    <r>
      <rPr>
        <sz val="10"/>
        <rFont val="Arial"/>
        <family val="2"/>
      </rPr>
      <t>/</t>
    </r>
    <r>
      <rPr>
        <sz val="10"/>
        <rFont val="ＭＳ ゴシック"/>
        <family val="3"/>
        <charset val="128"/>
      </rPr>
      <t>グラフ作成用＞</t>
    </r>
    <rPh sb="4" eb="6">
      <t>ニュウリョク</t>
    </rPh>
    <rPh sb="10" eb="12">
      <t>サクセイ</t>
    </rPh>
    <rPh sb="12" eb="13">
      <t>ヨウ</t>
    </rPh>
    <phoneticPr fontId="17"/>
  </si>
  <si>
    <r>
      <rPr>
        <sz val="10"/>
        <rFont val="ＭＳ ゴシック"/>
        <family val="3"/>
        <charset val="128"/>
      </rPr>
      <t>月次ｼｰﾄ照合</t>
    </r>
    <rPh sb="0" eb="2">
      <t>ゲツジ</t>
    </rPh>
    <rPh sb="5" eb="7">
      <t>ショウゴウ</t>
    </rPh>
    <phoneticPr fontId="17"/>
  </si>
  <si>
    <r>
      <rPr>
        <sz val="10"/>
        <rFont val="ＭＳ ゴシック"/>
        <family val="3"/>
        <charset val="128"/>
      </rPr>
      <t>●参照資料：</t>
    </r>
    <r>
      <rPr>
        <sz val="10"/>
        <rFont val="Arial"/>
        <family val="2"/>
      </rPr>
      <t>F2100US_</t>
    </r>
    <r>
      <rPr>
        <sz val="10"/>
        <rFont val="ＭＳ ゴシック"/>
        <family val="3"/>
        <charset val="128"/>
      </rPr>
      <t>●●</t>
    </r>
    <r>
      <rPr>
        <sz val="10"/>
        <rFont val="Arial"/>
        <family val="2"/>
      </rPr>
      <t>03</t>
    </r>
    <r>
      <rPr>
        <sz val="10"/>
        <rFont val="ＭＳ ゴシック"/>
        <family val="3"/>
        <charset val="128"/>
      </rPr>
      <t>実績表</t>
    </r>
    <r>
      <rPr>
        <sz val="10"/>
        <rFont val="Arial"/>
        <family val="2"/>
      </rPr>
      <t>.xls</t>
    </r>
    <r>
      <rPr>
        <sz val="10"/>
        <rFont val="ＭＳ ゴシック"/>
        <family val="3"/>
        <charset val="128"/>
      </rPr>
      <t>、実績表</t>
    </r>
    <rPh sb="1" eb="3">
      <t>サンショウ</t>
    </rPh>
    <rPh sb="3" eb="5">
      <t>シリョウ</t>
    </rPh>
    <rPh sb="18" eb="20">
      <t>ジッセキ</t>
    </rPh>
    <rPh sb="20" eb="21">
      <t>ヒョウ</t>
    </rPh>
    <rPh sb="26" eb="28">
      <t>ジッセキ</t>
    </rPh>
    <rPh sb="28" eb="29">
      <t>ヒョウ</t>
    </rPh>
    <phoneticPr fontId="14"/>
  </si>
  <si>
    <r>
      <t xml:space="preserve"> </t>
    </r>
    <r>
      <rPr>
        <sz val="8"/>
        <rFont val="メイリオ"/>
        <family val="3"/>
        <charset val="128"/>
      </rPr>
      <t>出品手数料　</t>
    </r>
    <r>
      <rPr>
        <sz val="8"/>
        <rFont val="Arial"/>
        <family val="2"/>
      </rPr>
      <t>Consignment Fees</t>
    </r>
    <rPh sb="1" eb="3">
      <t>シュッピン</t>
    </rPh>
    <rPh sb="3" eb="6">
      <t>テスウリョウ</t>
    </rPh>
    <phoneticPr fontId="17"/>
  </si>
  <si>
    <r>
      <rPr>
        <sz val="10"/>
        <rFont val="ＭＳ Ｐゴシック"/>
        <family val="3"/>
        <charset val="128"/>
      </rPr>
      <t xml:space="preserve">出品手数料
</t>
    </r>
    <r>
      <rPr>
        <sz val="10"/>
        <rFont val="Arial"/>
        <family val="2"/>
      </rPr>
      <t>Consignment Fee</t>
    </r>
    <rPh sb="0" eb="2">
      <t>シュッピン</t>
    </rPh>
    <rPh sb="2" eb="5">
      <t>テスウリョウ</t>
    </rPh>
    <phoneticPr fontId="17"/>
  </si>
  <si>
    <r>
      <t xml:space="preserve"> </t>
    </r>
    <r>
      <rPr>
        <sz val="8"/>
        <rFont val="メイリオ"/>
        <family val="3"/>
        <charset val="128"/>
      </rPr>
      <t>成約手数料　</t>
    </r>
    <r>
      <rPr>
        <sz val="8"/>
        <rFont val="Arial"/>
        <family val="2"/>
      </rPr>
      <t>Contract Completion Fees</t>
    </r>
    <rPh sb="1" eb="3">
      <t>セイヤク</t>
    </rPh>
    <rPh sb="3" eb="6">
      <t>テスウリョウ</t>
    </rPh>
    <phoneticPr fontId="17"/>
  </si>
  <si>
    <r>
      <rPr>
        <sz val="10"/>
        <rFont val="ＭＳ Ｐゴシック"/>
        <family val="3"/>
        <charset val="128"/>
      </rPr>
      <t xml:space="preserve">成約手数料
</t>
    </r>
    <r>
      <rPr>
        <sz val="10"/>
        <rFont val="Arial"/>
        <family val="2"/>
      </rPr>
      <t>Contract Completion Fee</t>
    </r>
    <rPh sb="0" eb="2">
      <t>セイヤク</t>
    </rPh>
    <rPh sb="2" eb="5">
      <t>テスウリョウ</t>
    </rPh>
    <phoneticPr fontId="17"/>
  </si>
  <si>
    <r>
      <t xml:space="preserve"> </t>
    </r>
    <r>
      <rPr>
        <sz val="8"/>
        <rFont val="メイリオ"/>
        <family val="3"/>
        <charset val="128"/>
      </rPr>
      <t>落札手数料　</t>
    </r>
    <r>
      <rPr>
        <sz val="8"/>
        <rFont val="Arial"/>
        <family val="2"/>
      </rPr>
      <t>Successful Bid Fees</t>
    </r>
    <rPh sb="1" eb="3">
      <t>ラクサツ</t>
    </rPh>
    <rPh sb="3" eb="6">
      <t>テスウリョウ</t>
    </rPh>
    <phoneticPr fontId="17"/>
  </si>
  <si>
    <r>
      <rPr>
        <sz val="10"/>
        <rFont val="ＭＳ Ｐゴシック"/>
        <family val="3"/>
        <charset val="128"/>
      </rPr>
      <t xml:space="preserve">落札手数料
</t>
    </r>
    <r>
      <rPr>
        <sz val="10"/>
        <rFont val="Arial"/>
        <family val="2"/>
      </rPr>
      <t>Successful Bidding Fee</t>
    </r>
    <rPh sb="0" eb="2">
      <t>ラクサツ</t>
    </rPh>
    <rPh sb="2" eb="5">
      <t>テスウリョウ</t>
    </rPh>
    <phoneticPr fontId="17"/>
  </si>
  <si>
    <r>
      <t xml:space="preserve"> </t>
    </r>
    <r>
      <rPr>
        <sz val="8"/>
        <rFont val="メイリオ"/>
        <family val="3"/>
        <charset val="128"/>
      </rPr>
      <t>バイクオークション手数料　</t>
    </r>
    <r>
      <rPr>
        <sz val="8"/>
        <rFont val="Arial"/>
        <family val="2"/>
      </rPr>
      <t>Motorcycle Auction Fees</t>
    </r>
    <rPh sb="10" eb="13">
      <t>テスウリョウ</t>
    </rPh>
    <phoneticPr fontId="17"/>
  </si>
  <si>
    <r>
      <rPr>
        <sz val="10"/>
        <rFont val="ＭＳ Ｐゴシック"/>
        <family val="3"/>
        <charset val="128"/>
      </rPr>
      <t xml:space="preserve">バイクオークション手数料
</t>
    </r>
    <r>
      <rPr>
        <sz val="10"/>
        <rFont val="Arial"/>
        <family val="2"/>
      </rPr>
      <t>Motorcycle Auction Fee</t>
    </r>
    <rPh sb="9" eb="12">
      <t>テスウリョウ</t>
    </rPh>
    <phoneticPr fontId="17"/>
  </si>
  <si>
    <r>
      <t xml:space="preserve"> </t>
    </r>
    <r>
      <rPr>
        <sz val="8"/>
        <rFont val="メイリオ"/>
        <family val="3"/>
        <charset val="128"/>
      </rPr>
      <t>商品売上高　</t>
    </r>
    <r>
      <rPr>
        <sz val="8"/>
        <rFont val="Arial"/>
        <family val="2"/>
      </rPr>
      <t>Net Sales of Goods</t>
    </r>
    <rPh sb="1" eb="3">
      <t>ショウヒン</t>
    </rPh>
    <phoneticPr fontId="17"/>
  </si>
  <si>
    <r>
      <rPr>
        <sz val="10"/>
        <rFont val="ＭＳ Ｐゴシック"/>
        <family val="3"/>
        <charset val="128"/>
      </rPr>
      <t xml:space="preserve">商品売上高
</t>
    </r>
    <r>
      <rPr>
        <sz val="10"/>
        <rFont val="Arial"/>
        <family val="2"/>
      </rPr>
      <t>Net Sales of Goods</t>
    </r>
    <rPh sb="0" eb="2">
      <t>ショウヒン</t>
    </rPh>
    <phoneticPr fontId="17"/>
  </si>
  <si>
    <r>
      <t xml:space="preserve"> </t>
    </r>
    <r>
      <rPr>
        <sz val="8"/>
        <rFont val="メイリオ"/>
        <family val="3"/>
        <charset val="128"/>
      </rPr>
      <t>その他の営業収入　</t>
    </r>
    <r>
      <rPr>
        <sz val="8"/>
        <rFont val="Arial"/>
        <family val="2"/>
      </rPr>
      <t>Other Operating Revenue</t>
    </r>
  </si>
  <si>
    <r>
      <rPr>
        <sz val="10"/>
        <rFont val="ＭＳ Ｐゴシック"/>
        <family val="3"/>
        <charset val="128"/>
      </rPr>
      <t xml:space="preserve">その他の営業収入
</t>
    </r>
    <r>
      <rPr>
        <sz val="10"/>
        <rFont val="Arial"/>
        <family val="2"/>
      </rPr>
      <t>Other Operating Revenue</t>
    </r>
    <phoneticPr fontId="17"/>
  </si>
  <si>
    <r>
      <t xml:space="preserve"> </t>
    </r>
    <r>
      <rPr>
        <sz val="8"/>
        <rFont val="メイリオ"/>
        <family val="3"/>
        <charset val="128"/>
      </rPr>
      <t>売上高　</t>
    </r>
    <r>
      <rPr>
        <sz val="8"/>
        <rFont val="Arial"/>
        <family val="2"/>
      </rPr>
      <t>Net Sales</t>
    </r>
    <rPh sb="1" eb="3">
      <t>ウリアゲ</t>
    </rPh>
    <rPh sb="3" eb="4">
      <t>ダカ</t>
    </rPh>
    <phoneticPr fontId="17"/>
  </si>
  <si>
    <r>
      <rPr>
        <sz val="10"/>
        <rFont val="ＭＳ Ｐゴシック"/>
        <family val="3"/>
        <charset val="128"/>
      </rPr>
      <t>売上高計</t>
    </r>
    <rPh sb="0" eb="2">
      <t>ウリアゲ</t>
    </rPh>
    <rPh sb="2" eb="3">
      <t>ダカ</t>
    </rPh>
    <rPh sb="3" eb="4">
      <t>ケイ</t>
    </rPh>
    <phoneticPr fontId="17"/>
  </si>
  <si>
    <r>
      <rPr>
        <sz val="10"/>
        <rFont val="ＭＳ Ｐゴシック"/>
        <family val="3"/>
        <charset val="128"/>
      </rPr>
      <t xml:space="preserve">出品手数料
</t>
    </r>
    <r>
      <rPr>
        <sz val="10"/>
        <rFont val="Arial"/>
        <family val="2"/>
      </rPr>
      <t>Consignment Fees</t>
    </r>
    <rPh sb="0" eb="2">
      <t>シュッピン</t>
    </rPh>
    <rPh sb="2" eb="5">
      <t>テスウリョウ</t>
    </rPh>
    <phoneticPr fontId="17"/>
  </si>
  <si>
    <r>
      <rPr>
        <sz val="10"/>
        <rFont val="ＭＳ Ｐゴシック"/>
        <family val="3"/>
        <charset val="128"/>
      </rPr>
      <t xml:space="preserve">成約手数料
</t>
    </r>
    <r>
      <rPr>
        <sz val="10"/>
        <rFont val="Arial"/>
        <family val="2"/>
      </rPr>
      <t>Contract Completion Fees</t>
    </r>
    <rPh sb="0" eb="2">
      <t>セイヤク</t>
    </rPh>
    <rPh sb="2" eb="5">
      <t>テスウリョウ</t>
    </rPh>
    <phoneticPr fontId="17"/>
  </si>
  <si>
    <r>
      <rPr>
        <sz val="10"/>
        <rFont val="ＭＳ Ｐゴシック"/>
        <family val="3"/>
        <charset val="128"/>
      </rPr>
      <t xml:space="preserve">バイクオークション手数料
</t>
    </r>
    <r>
      <rPr>
        <sz val="10"/>
        <rFont val="Arial"/>
        <family val="2"/>
      </rPr>
      <t>Motorcycle Auction Fees</t>
    </r>
    <rPh sb="9" eb="12">
      <t>テスウリョウ</t>
    </rPh>
    <phoneticPr fontId="17"/>
  </si>
  <si>
    <r>
      <rPr>
        <sz val="10"/>
        <rFont val="ＭＳ Ｐゴシック"/>
        <family val="3"/>
        <charset val="128"/>
      </rPr>
      <t xml:space="preserve">商品売上高
</t>
    </r>
    <r>
      <rPr>
        <sz val="10"/>
        <rFont val="Arial"/>
        <family val="2"/>
      </rPr>
      <t>Net Sales of Goods</t>
    </r>
    <rPh sb="0" eb="2">
      <t>ショウヒン</t>
    </rPh>
    <rPh sb="2" eb="4">
      <t>ウリアゲ</t>
    </rPh>
    <rPh sb="4" eb="5">
      <t>ダカ</t>
    </rPh>
    <phoneticPr fontId="17"/>
  </si>
  <si>
    <r>
      <rPr>
        <sz val="10"/>
        <rFont val="ＭＳ Ｐゴシック"/>
        <family val="3"/>
        <charset val="128"/>
      </rPr>
      <t>＜リユース車除く＞※</t>
    </r>
    <rPh sb="5" eb="6">
      <t>クルマ</t>
    </rPh>
    <rPh sb="6" eb="7">
      <t>ノゾ</t>
    </rPh>
    <phoneticPr fontId="17"/>
  </si>
  <si>
    <r>
      <rPr>
        <sz val="8"/>
        <rFont val="ＭＳ Ｐゴシック"/>
        <family val="3"/>
        <charset val="128"/>
      </rPr>
      <t>（単位：円、％）</t>
    </r>
    <phoneticPr fontId="18"/>
  </si>
  <si>
    <r>
      <rPr>
        <sz val="10"/>
        <rFont val="ＭＳ Ｐゴシック"/>
        <family val="3"/>
        <charset val="128"/>
      </rPr>
      <t>出品手数料</t>
    </r>
    <rPh sb="0" eb="2">
      <t>シュッピン</t>
    </rPh>
    <rPh sb="2" eb="4">
      <t>テスウ</t>
    </rPh>
    <rPh sb="4" eb="5">
      <t>リョウ</t>
    </rPh>
    <phoneticPr fontId="17"/>
  </si>
  <si>
    <r>
      <rPr>
        <sz val="10"/>
        <rFont val="ＭＳ Ｐゴシック"/>
        <family val="3"/>
        <charset val="128"/>
      </rPr>
      <t>成約手数料</t>
    </r>
    <rPh sb="0" eb="2">
      <t>セイヤク</t>
    </rPh>
    <rPh sb="2" eb="4">
      <t>テスウ</t>
    </rPh>
    <rPh sb="4" eb="5">
      <t>リョウ</t>
    </rPh>
    <phoneticPr fontId="17"/>
  </si>
  <si>
    <r>
      <rPr>
        <sz val="10"/>
        <rFont val="ＭＳ Ｐゴシック"/>
        <family val="3"/>
        <charset val="128"/>
      </rPr>
      <t>落札手数料</t>
    </r>
    <rPh sb="0" eb="2">
      <t>ラクサツ</t>
    </rPh>
    <rPh sb="2" eb="4">
      <t>テスウ</t>
    </rPh>
    <rPh sb="4" eb="5">
      <t>リョウ</t>
    </rPh>
    <phoneticPr fontId="17"/>
  </si>
  <si>
    <r>
      <rPr>
        <sz val="10"/>
        <rFont val="ＭＳ ゴシック"/>
        <family val="3"/>
        <charset val="128"/>
      </rPr>
      <t>連結相殺前</t>
    </r>
    <rPh sb="0" eb="2">
      <t>レンケツ</t>
    </rPh>
    <rPh sb="2" eb="4">
      <t>ソウサイ</t>
    </rPh>
    <rPh sb="4" eb="5">
      <t>マエ</t>
    </rPh>
    <phoneticPr fontId="17"/>
  </si>
  <si>
    <r>
      <rPr>
        <sz val="10"/>
        <rFont val="ＭＳ Ｐゴシック"/>
        <family val="3"/>
        <charset val="128"/>
      </rPr>
      <t>出品手数料</t>
    </r>
    <rPh sb="0" eb="2">
      <t>シュッピン</t>
    </rPh>
    <rPh sb="2" eb="5">
      <t>テスウリョウ</t>
    </rPh>
    <phoneticPr fontId="17"/>
  </si>
  <si>
    <r>
      <rPr>
        <sz val="10"/>
        <rFont val="ＭＳ Ｐゴシック"/>
        <family val="3"/>
        <charset val="128"/>
      </rPr>
      <t>成約手数料</t>
    </r>
    <rPh sb="0" eb="2">
      <t>セイヤク</t>
    </rPh>
    <rPh sb="2" eb="5">
      <t>テスウリョウ</t>
    </rPh>
    <phoneticPr fontId="17"/>
  </si>
  <si>
    <r>
      <rPr>
        <sz val="10"/>
        <rFont val="ＭＳ Ｐゴシック"/>
        <family val="3"/>
        <charset val="128"/>
      </rPr>
      <t>落札手数料</t>
    </r>
    <rPh sb="0" eb="2">
      <t>ラクサツ</t>
    </rPh>
    <rPh sb="2" eb="5">
      <t>テスウリョウ</t>
    </rPh>
    <phoneticPr fontId="17"/>
  </si>
  <si>
    <r>
      <rPr>
        <sz val="10"/>
        <rFont val="ＭＳ ゴシック"/>
        <family val="3"/>
        <charset val="128"/>
      </rPr>
      <t>成約台数</t>
    </r>
    <rPh sb="0" eb="2">
      <t>セイヤク</t>
    </rPh>
    <rPh sb="2" eb="4">
      <t>ダイスウ</t>
    </rPh>
    <phoneticPr fontId="17"/>
  </si>
  <si>
    <r>
      <rPr>
        <sz val="10"/>
        <rFont val="ＭＳ Ｐゴシック"/>
        <family val="3"/>
        <charset val="128"/>
      </rPr>
      <t>リユース　出品手数料</t>
    </r>
    <rPh sb="5" eb="7">
      <t>シュッピン</t>
    </rPh>
    <rPh sb="7" eb="9">
      <t>テスウ</t>
    </rPh>
    <rPh sb="9" eb="10">
      <t>リョウ</t>
    </rPh>
    <phoneticPr fontId="17"/>
  </si>
  <si>
    <r>
      <rPr>
        <sz val="10"/>
        <rFont val="ＭＳ ゴシック"/>
        <family val="3"/>
        <charset val="128"/>
      </rPr>
      <t>←</t>
    </r>
    <r>
      <rPr>
        <sz val="10"/>
        <rFont val="Arial"/>
        <family val="2"/>
      </rPr>
      <t>2010.3</t>
    </r>
    <r>
      <rPr>
        <sz val="10"/>
        <rFont val="ＭＳ ゴシック"/>
        <family val="3"/>
        <charset val="128"/>
      </rPr>
      <t>は</t>
    </r>
    <r>
      <rPr>
        <sz val="10"/>
        <rFont val="Arial"/>
        <family val="2"/>
      </rPr>
      <t>R</t>
    </r>
    <r>
      <rPr>
        <sz val="10"/>
        <rFont val="ＭＳ ゴシック"/>
        <family val="3"/>
        <charset val="128"/>
      </rPr>
      <t>名古屋のホワイト再出品手数料</t>
    </r>
    <r>
      <rPr>
        <sz val="10"/>
        <rFont val="Arial"/>
        <family val="2"/>
      </rPr>
      <t>3,885,000</t>
    </r>
    <r>
      <rPr>
        <sz val="10"/>
        <rFont val="ＭＳ ゴシック"/>
        <family val="3"/>
        <charset val="128"/>
      </rPr>
      <t>円を加算。次回からは加算不要。</t>
    </r>
    <phoneticPr fontId="17"/>
  </si>
  <si>
    <r>
      <rPr>
        <sz val="10"/>
        <rFont val="ＭＳ Ｐゴシック"/>
        <family val="3"/>
        <charset val="128"/>
      </rPr>
      <t>リユース　成約手数料</t>
    </r>
    <rPh sb="5" eb="7">
      <t>セイヤク</t>
    </rPh>
    <rPh sb="7" eb="9">
      <t>テスウ</t>
    </rPh>
    <rPh sb="9" eb="10">
      <t>リョウ</t>
    </rPh>
    <phoneticPr fontId="17"/>
  </si>
  <si>
    <r>
      <rPr>
        <sz val="10"/>
        <rFont val="ＭＳ Ｐゴシック"/>
        <family val="3"/>
        <charset val="128"/>
      </rPr>
      <t>リユース　落札手数料</t>
    </r>
    <rPh sb="5" eb="7">
      <t>ラクサツ</t>
    </rPh>
    <rPh sb="7" eb="9">
      <t>テスウ</t>
    </rPh>
    <rPh sb="9" eb="10">
      <t>リョウ</t>
    </rPh>
    <phoneticPr fontId="17"/>
  </si>
  <si>
    <r>
      <rPr>
        <sz val="10"/>
        <rFont val="ＭＳ Ｐゴシック"/>
        <family val="3"/>
        <charset val="128"/>
      </rPr>
      <t>リユース　出品台数</t>
    </r>
    <rPh sb="5" eb="7">
      <t>シュッピン</t>
    </rPh>
    <rPh sb="7" eb="9">
      <t>ダイスウ</t>
    </rPh>
    <phoneticPr fontId="17"/>
  </si>
  <si>
    <r>
      <rPr>
        <sz val="10"/>
        <rFont val="ＭＳ Ｐゴシック"/>
        <family val="3"/>
        <charset val="128"/>
      </rPr>
      <t>リユース　成約台数</t>
    </r>
    <rPh sb="5" eb="7">
      <t>セイヤク</t>
    </rPh>
    <rPh sb="7" eb="9">
      <t>ダイスウ</t>
    </rPh>
    <phoneticPr fontId="17"/>
  </si>
  <si>
    <r>
      <t>1</t>
    </r>
    <r>
      <rPr>
        <sz val="10"/>
        <rFont val="ＭＳ Ｐゴシック"/>
        <family val="3"/>
        <charset val="128"/>
      </rPr>
      <t>台当たりの出品手数料</t>
    </r>
    <rPh sb="1" eb="2">
      <t>ダイ</t>
    </rPh>
    <rPh sb="2" eb="3">
      <t>ア</t>
    </rPh>
    <rPh sb="6" eb="8">
      <t>シュッピン</t>
    </rPh>
    <rPh sb="8" eb="11">
      <t>テスウリョウ</t>
    </rPh>
    <phoneticPr fontId="17"/>
  </si>
  <si>
    <r>
      <t>1</t>
    </r>
    <r>
      <rPr>
        <sz val="10"/>
        <rFont val="ＭＳ Ｐゴシック"/>
        <family val="3"/>
        <charset val="128"/>
      </rPr>
      <t>台当たりの成約手数料</t>
    </r>
    <rPh sb="6" eb="8">
      <t>セイヤク</t>
    </rPh>
    <rPh sb="8" eb="11">
      <t>テスウリョウ</t>
    </rPh>
    <phoneticPr fontId="17"/>
  </si>
  <si>
    <r>
      <t>1</t>
    </r>
    <r>
      <rPr>
        <sz val="10"/>
        <rFont val="ＭＳ Ｐゴシック"/>
        <family val="3"/>
        <charset val="128"/>
      </rPr>
      <t>台当たりの落札手数料</t>
    </r>
    <rPh sb="6" eb="8">
      <t>ラクサツ</t>
    </rPh>
    <rPh sb="8" eb="11">
      <t>テスウリョウ</t>
    </rPh>
    <phoneticPr fontId="17"/>
  </si>
  <si>
    <r>
      <rPr>
        <sz val="10"/>
        <rFont val="ＭＳ ゴシック"/>
        <family val="3"/>
        <charset val="128"/>
      </rPr>
      <t>←有価証券報告書用</t>
    </r>
    <rPh sb="1" eb="3">
      <t>ユウカ</t>
    </rPh>
    <rPh sb="3" eb="5">
      <t>ショウケン</t>
    </rPh>
    <rPh sb="5" eb="8">
      <t>ホウコクショ</t>
    </rPh>
    <rPh sb="8" eb="9">
      <t>ヨウ</t>
    </rPh>
    <phoneticPr fontId="17"/>
  </si>
  <si>
    <r>
      <rPr>
        <sz val="10"/>
        <rFont val="ＭＳ ゴシック"/>
        <family val="3"/>
        <charset val="128"/>
      </rPr>
      <t>　■</t>
    </r>
    <r>
      <rPr>
        <sz val="10"/>
        <rFont val="Arial"/>
        <family val="2"/>
      </rPr>
      <t>2004</t>
    </r>
    <r>
      <rPr>
        <sz val="10"/>
        <rFont val="ＭＳ ゴシック"/>
        <family val="3"/>
        <charset val="128"/>
      </rPr>
      <t>年</t>
    </r>
    <r>
      <rPr>
        <sz val="10"/>
        <rFont val="Arial"/>
        <family val="2"/>
      </rPr>
      <t>3</t>
    </r>
    <r>
      <rPr>
        <sz val="10"/>
        <rFont val="ＭＳ ゴシック"/>
        <family val="3"/>
        <charset val="128"/>
      </rPr>
      <t>月以前の</t>
    </r>
    <r>
      <rPr>
        <sz val="10"/>
        <rFont val="Arial"/>
        <family val="2"/>
      </rPr>
      <t>1</t>
    </r>
    <r>
      <rPr>
        <sz val="10"/>
        <rFont val="ＭＳ ゴシック"/>
        <family val="3"/>
        <charset val="128"/>
      </rPr>
      <t>台当たりの手数料：過去は四捨五入してたこともあり</t>
    </r>
    <rPh sb="6" eb="7">
      <t>ネン</t>
    </rPh>
    <rPh sb="8" eb="9">
      <t>ガツ</t>
    </rPh>
    <rPh sb="9" eb="11">
      <t>イゼン</t>
    </rPh>
    <rPh sb="13" eb="14">
      <t>ダイ</t>
    </rPh>
    <rPh sb="14" eb="15">
      <t>ア</t>
    </rPh>
    <rPh sb="18" eb="21">
      <t>テスウリョウ</t>
    </rPh>
    <rPh sb="22" eb="24">
      <t>カコ</t>
    </rPh>
    <rPh sb="25" eb="29">
      <t>シシャゴニュウ</t>
    </rPh>
    <phoneticPr fontId="17"/>
  </si>
  <si>
    <r>
      <rPr>
        <sz val="10"/>
        <rFont val="ＭＳ ゴシック"/>
        <family val="3"/>
        <charset val="128"/>
      </rPr>
      <t>　■</t>
    </r>
    <r>
      <rPr>
        <sz val="10"/>
        <rFont val="Arial"/>
        <family val="2"/>
      </rPr>
      <t>2016</t>
    </r>
    <r>
      <rPr>
        <sz val="10"/>
        <rFont val="ＭＳ ゴシック"/>
        <family val="3"/>
        <charset val="128"/>
      </rPr>
      <t>年</t>
    </r>
    <r>
      <rPr>
        <sz val="10"/>
        <rFont val="Arial"/>
        <family val="2"/>
      </rPr>
      <t>3</t>
    </r>
    <r>
      <rPr>
        <sz val="10"/>
        <rFont val="ＭＳ ゴシック"/>
        <family val="3"/>
        <charset val="128"/>
      </rPr>
      <t>月期に連結子会社になった</t>
    </r>
    <r>
      <rPr>
        <sz val="10"/>
        <rFont val="Arial"/>
        <family val="2"/>
      </rPr>
      <t>JBA</t>
    </r>
    <r>
      <rPr>
        <sz val="10"/>
        <rFont val="ＭＳ ゴシック"/>
        <family val="3"/>
        <charset val="128"/>
      </rPr>
      <t>がオークション事業に組み込まれたため、セグメントの手数料は</t>
    </r>
    <r>
      <rPr>
        <sz val="10"/>
        <rFont val="Arial"/>
        <family val="2"/>
      </rPr>
      <t>JBA</t>
    </r>
    <r>
      <rPr>
        <sz val="10"/>
        <rFont val="ＭＳ ゴシック"/>
        <family val="3"/>
        <charset val="128"/>
      </rPr>
      <t>の手数料が含まれている。</t>
    </r>
    <rPh sb="6" eb="7">
      <t>ネン</t>
    </rPh>
    <rPh sb="8" eb="10">
      <t>ガツキ</t>
    </rPh>
    <rPh sb="11" eb="13">
      <t>レンケツ</t>
    </rPh>
    <rPh sb="13" eb="16">
      <t>コガイシャ</t>
    </rPh>
    <rPh sb="30" eb="32">
      <t>ジギョウ</t>
    </rPh>
    <rPh sb="33" eb="34">
      <t>ク</t>
    </rPh>
    <rPh sb="35" eb="36">
      <t>コ</t>
    </rPh>
    <rPh sb="48" eb="51">
      <t>テスウリョウ</t>
    </rPh>
    <rPh sb="56" eb="59">
      <t>テスウリョウ</t>
    </rPh>
    <rPh sb="60" eb="61">
      <t>フク</t>
    </rPh>
    <phoneticPr fontId="17"/>
  </si>
  <si>
    <r>
      <rPr>
        <sz val="10"/>
        <rFont val="ＭＳ ゴシック"/>
        <family val="3"/>
        <charset val="128"/>
      </rPr>
      <t>　　</t>
    </r>
    <r>
      <rPr>
        <sz val="10"/>
        <rFont val="Arial"/>
        <family val="2"/>
      </rPr>
      <t>DB</t>
    </r>
    <r>
      <rPr>
        <sz val="10"/>
        <rFont val="ＭＳ ゴシック"/>
        <family val="3"/>
        <charset val="128"/>
      </rPr>
      <t>上では</t>
    </r>
    <r>
      <rPr>
        <sz val="10"/>
        <rFont val="Arial"/>
        <family val="2"/>
      </rPr>
      <t>JBA</t>
    </r>
    <r>
      <rPr>
        <sz val="10"/>
        <rFont val="ＭＳ ゴシック"/>
        <family val="3"/>
        <charset val="128"/>
      </rPr>
      <t>の手数料は反映しないため、</t>
    </r>
    <r>
      <rPr>
        <sz val="10"/>
        <rFont val="Arial"/>
        <family val="2"/>
      </rPr>
      <t>2016</t>
    </r>
    <r>
      <rPr>
        <sz val="10"/>
        <rFont val="ＭＳ ゴシック"/>
        <family val="3"/>
        <charset val="128"/>
      </rPr>
      <t>年</t>
    </r>
    <r>
      <rPr>
        <sz val="10"/>
        <rFont val="Arial"/>
        <family val="2"/>
      </rPr>
      <t>3</t>
    </r>
    <r>
      <rPr>
        <sz val="10"/>
        <rFont val="ＭＳ ゴシック"/>
        <family val="3"/>
        <charset val="128"/>
      </rPr>
      <t>月期からは</t>
    </r>
    <r>
      <rPr>
        <sz val="10"/>
        <rFont val="Arial"/>
        <family val="2"/>
      </rPr>
      <t>USS</t>
    </r>
    <r>
      <rPr>
        <sz val="10"/>
        <rFont val="ＭＳ ゴシック"/>
        <family val="3"/>
        <charset val="128"/>
      </rPr>
      <t>の報告数値から</t>
    </r>
    <r>
      <rPr>
        <sz val="10"/>
        <rFont val="Arial"/>
        <family val="2"/>
      </rPr>
      <t>1</t>
    </r>
    <r>
      <rPr>
        <sz val="10"/>
        <rFont val="ＭＳ ゴシック"/>
        <family val="3"/>
        <charset val="128"/>
      </rPr>
      <t>台当たり手数料を計算する</t>
    </r>
    <rPh sb="4" eb="5">
      <t>ジョウ</t>
    </rPh>
    <rPh sb="11" eb="14">
      <t>テスウリョウ</t>
    </rPh>
    <rPh sb="15" eb="17">
      <t>ハンエイ</t>
    </rPh>
    <rPh sb="27" eb="28">
      <t>ネン</t>
    </rPh>
    <rPh sb="29" eb="31">
      <t>ガツキ</t>
    </rPh>
    <rPh sb="38" eb="40">
      <t>ホウコク</t>
    </rPh>
    <rPh sb="40" eb="42">
      <t>スウチ</t>
    </rPh>
    <rPh sb="45" eb="46">
      <t>ダイ</t>
    </rPh>
    <rPh sb="46" eb="47">
      <t>ア</t>
    </rPh>
    <rPh sb="49" eb="52">
      <t>テスウリョウ</t>
    </rPh>
    <rPh sb="53" eb="55">
      <t>ケイサン</t>
    </rPh>
    <phoneticPr fontId="17"/>
  </si>
  <si>
    <r>
      <rPr>
        <sz val="10"/>
        <rFont val="ＭＳ ゴシック"/>
        <family val="3"/>
        <charset val="128"/>
      </rPr>
      <t>　■</t>
    </r>
    <r>
      <rPr>
        <sz val="10"/>
        <rFont val="Arial"/>
        <family val="2"/>
      </rPr>
      <t>2018</t>
    </r>
    <r>
      <rPr>
        <sz val="10"/>
        <rFont val="ＭＳ ゴシック"/>
        <family val="3"/>
        <charset val="128"/>
      </rPr>
      <t>年</t>
    </r>
    <r>
      <rPr>
        <sz val="10"/>
        <rFont val="Arial"/>
        <family val="2"/>
      </rPr>
      <t>3</t>
    </r>
    <r>
      <rPr>
        <sz val="10"/>
        <rFont val="ＭＳ ゴシック"/>
        <family val="3"/>
        <charset val="128"/>
      </rPr>
      <t>月期に連結子会社になった</t>
    </r>
    <r>
      <rPr>
        <sz val="10"/>
        <rFont val="Arial"/>
        <family val="2"/>
      </rPr>
      <t>JAA</t>
    </r>
    <r>
      <rPr>
        <sz val="10"/>
        <rFont val="ＭＳ ゴシック"/>
        <family val="3"/>
        <charset val="128"/>
      </rPr>
      <t>と</t>
    </r>
    <r>
      <rPr>
        <sz val="10"/>
        <rFont val="Arial"/>
        <family val="2"/>
      </rPr>
      <t>HAA</t>
    </r>
    <r>
      <rPr>
        <sz val="10"/>
        <rFont val="ＭＳ ゴシック"/>
        <family val="3"/>
        <charset val="128"/>
      </rPr>
      <t>がオークション事業に組み込まれたため、セグメントの手数料は</t>
    </r>
    <r>
      <rPr>
        <sz val="10"/>
        <rFont val="Arial"/>
        <family val="2"/>
      </rPr>
      <t>USS</t>
    </r>
    <r>
      <rPr>
        <sz val="10"/>
        <rFont val="ＭＳ ゴシック"/>
        <family val="3"/>
        <charset val="128"/>
      </rPr>
      <t>、</t>
    </r>
    <r>
      <rPr>
        <sz val="10"/>
        <rFont val="Arial"/>
        <family val="2"/>
      </rPr>
      <t>JAA</t>
    </r>
    <r>
      <rPr>
        <sz val="10"/>
        <rFont val="ＭＳ ゴシック"/>
        <family val="3"/>
        <charset val="128"/>
      </rPr>
      <t>、</t>
    </r>
    <r>
      <rPr>
        <sz val="10"/>
        <rFont val="Arial"/>
        <family val="2"/>
      </rPr>
      <t>HAA</t>
    </r>
    <r>
      <rPr>
        <sz val="10"/>
        <rFont val="ＭＳ ゴシック"/>
        <family val="3"/>
        <charset val="128"/>
      </rPr>
      <t>、</t>
    </r>
    <r>
      <rPr>
        <sz val="10"/>
        <rFont val="Arial"/>
        <family val="2"/>
      </rPr>
      <t>JBA</t>
    </r>
    <r>
      <rPr>
        <sz val="10"/>
        <rFont val="ＭＳ ゴシック"/>
        <family val="3"/>
        <charset val="128"/>
      </rPr>
      <t>の手数料の合計となっている。</t>
    </r>
    <rPh sb="6" eb="7">
      <t>ネン</t>
    </rPh>
    <rPh sb="8" eb="10">
      <t>ガツキ</t>
    </rPh>
    <rPh sb="11" eb="13">
      <t>レンケツ</t>
    </rPh>
    <rPh sb="13" eb="16">
      <t>コガイシャ</t>
    </rPh>
    <rPh sb="34" eb="36">
      <t>ジギョウ</t>
    </rPh>
    <rPh sb="37" eb="38">
      <t>ク</t>
    </rPh>
    <rPh sb="39" eb="40">
      <t>コ</t>
    </rPh>
    <rPh sb="52" eb="55">
      <t>テスウリョウ</t>
    </rPh>
    <rPh sb="72" eb="75">
      <t>テスウリョウ</t>
    </rPh>
    <rPh sb="76" eb="78">
      <t>ゴウケイ</t>
    </rPh>
    <phoneticPr fontId="17"/>
  </si>
  <si>
    <r>
      <rPr>
        <sz val="10"/>
        <rFont val="ＭＳ ゴシック"/>
        <family val="3"/>
        <charset val="128"/>
      </rPr>
      <t>　　</t>
    </r>
    <r>
      <rPr>
        <sz val="10"/>
        <rFont val="Arial"/>
        <family val="2"/>
      </rPr>
      <t>DB</t>
    </r>
    <r>
      <rPr>
        <sz val="10"/>
        <rFont val="ＭＳ ゴシック"/>
        <family val="3"/>
        <charset val="128"/>
      </rPr>
      <t>上では</t>
    </r>
    <r>
      <rPr>
        <sz val="10"/>
        <rFont val="Arial"/>
        <family val="2"/>
      </rPr>
      <t>JBA</t>
    </r>
    <r>
      <rPr>
        <sz val="10"/>
        <rFont val="ＭＳ ゴシック"/>
        <family val="3"/>
        <charset val="128"/>
      </rPr>
      <t>の手数料は反映しないため、</t>
    </r>
    <r>
      <rPr>
        <sz val="10"/>
        <rFont val="Arial"/>
        <family val="2"/>
      </rPr>
      <t>2018</t>
    </r>
    <r>
      <rPr>
        <sz val="10"/>
        <rFont val="ＭＳ ゴシック"/>
        <family val="3"/>
        <charset val="128"/>
      </rPr>
      <t>年</t>
    </r>
    <r>
      <rPr>
        <sz val="10"/>
        <rFont val="Arial"/>
        <family val="2"/>
      </rPr>
      <t>3</t>
    </r>
    <r>
      <rPr>
        <sz val="10"/>
        <rFont val="ＭＳ ゴシック"/>
        <family val="3"/>
        <charset val="128"/>
      </rPr>
      <t>月期からは</t>
    </r>
    <r>
      <rPr>
        <sz val="10"/>
        <rFont val="Arial"/>
        <family val="2"/>
      </rPr>
      <t>USS</t>
    </r>
    <r>
      <rPr>
        <sz val="10"/>
        <rFont val="ＭＳ ゴシック"/>
        <family val="3"/>
        <charset val="128"/>
      </rPr>
      <t>・</t>
    </r>
    <r>
      <rPr>
        <sz val="10"/>
        <rFont val="Arial"/>
        <family val="2"/>
      </rPr>
      <t>JAA</t>
    </r>
    <r>
      <rPr>
        <sz val="10"/>
        <rFont val="ＭＳ ゴシック"/>
        <family val="3"/>
        <charset val="128"/>
      </rPr>
      <t>・</t>
    </r>
    <r>
      <rPr>
        <sz val="10"/>
        <rFont val="Arial"/>
        <family val="2"/>
      </rPr>
      <t>HAA</t>
    </r>
    <r>
      <rPr>
        <sz val="10"/>
        <rFont val="ＭＳ ゴシック"/>
        <family val="3"/>
        <charset val="128"/>
      </rPr>
      <t>の報告数値の合計から</t>
    </r>
    <r>
      <rPr>
        <sz val="10"/>
        <rFont val="Arial"/>
        <family val="2"/>
      </rPr>
      <t>1</t>
    </r>
    <r>
      <rPr>
        <sz val="10"/>
        <rFont val="ＭＳ ゴシック"/>
        <family val="3"/>
        <charset val="128"/>
      </rPr>
      <t>台当たり手数料を計算する</t>
    </r>
    <rPh sb="4" eb="5">
      <t>ジョウ</t>
    </rPh>
    <rPh sb="11" eb="14">
      <t>テスウリョウ</t>
    </rPh>
    <rPh sb="15" eb="17">
      <t>ハンエイ</t>
    </rPh>
    <rPh sb="27" eb="28">
      <t>ネン</t>
    </rPh>
    <rPh sb="29" eb="31">
      <t>ガツキ</t>
    </rPh>
    <rPh sb="46" eb="48">
      <t>ホウコク</t>
    </rPh>
    <rPh sb="48" eb="50">
      <t>スウチ</t>
    </rPh>
    <rPh sb="51" eb="53">
      <t>ゴウケイ</t>
    </rPh>
    <rPh sb="56" eb="57">
      <t>ダイ</t>
    </rPh>
    <rPh sb="57" eb="58">
      <t>ア</t>
    </rPh>
    <rPh sb="60" eb="63">
      <t>テスウリョウ</t>
    </rPh>
    <rPh sb="64" eb="66">
      <t>ケイサン</t>
    </rPh>
    <phoneticPr fontId="17"/>
  </si>
  <si>
    <r>
      <t xml:space="preserve">  </t>
    </r>
    <r>
      <rPr>
        <sz val="10"/>
        <rFont val="ＭＳ ゴシック"/>
        <family val="3"/>
        <charset val="128"/>
      </rPr>
      <t>■</t>
    </r>
    <r>
      <rPr>
        <sz val="10"/>
        <rFont val="Arial"/>
        <family val="2"/>
      </rPr>
      <t>2018</t>
    </r>
    <r>
      <rPr>
        <sz val="10"/>
        <rFont val="ＭＳ ゴシック"/>
        <family val="3"/>
        <charset val="128"/>
      </rPr>
      <t>年</t>
    </r>
    <r>
      <rPr>
        <sz val="10"/>
        <rFont val="Arial"/>
        <family val="2"/>
      </rPr>
      <t>3</t>
    </r>
    <r>
      <rPr>
        <sz val="10"/>
        <rFont val="ＭＳ ゴシック"/>
        <family val="3"/>
        <charset val="128"/>
      </rPr>
      <t>月期より</t>
    </r>
    <r>
      <rPr>
        <sz val="10"/>
        <rFont val="Arial"/>
        <family val="2"/>
      </rPr>
      <t>JAA</t>
    </r>
    <r>
      <rPr>
        <sz val="10"/>
        <rFont val="ＭＳ ゴシック"/>
        <family val="3"/>
        <charset val="128"/>
      </rPr>
      <t>と</t>
    </r>
    <r>
      <rPr>
        <sz val="10"/>
        <rFont val="Arial"/>
        <family val="2"/>
      </rPr>
      <t>HAA</t>
    </r>
    <r>
      <rPr>
        <sz val="10"/>
        <rFont val="ＭＳ ゴシック"/>
        <family val="3"/>
        <charset val="128"/>
      </rPr>
      <t>の実績を含めているが、</t>
    </r>
    <r>
      <rPr>
        <sz val="10"/>
        <rFont val="Arial"/>
        <family val="2"/>
      </rPr>
      <t>2018</t>
    </r>
    <r>
      <rPr>
        <sz val="10"/>
        <rFont val="ＭＳ ゴシック"/>
        <family val="3"/>
        <charset val="128"/>
      </rPr>
      <t>年</t>
    </r>
    <r>
      <rPr>
        <sz val="10"/>
        <rFont val="Arial"/>
        <family val="2"/>
      </rPr>
      <t>3</t>
    </r>
    <r>
      <rPr>
        <sz val="10"/>
        <rFont val="ＭＳ ゴシック"/>
        <family val="3"/>
        <charset val="128"/>
      </rPr>
      <t>月期と</t>
    </r>
    <r>
      <rPr>
        <sz val="10"/>
        <rFont val="Arial"/>
        <family val="2"/>
      </rPr>
      <t>2019</t>
    </r>
    <r>
      <rPr>
        <sz val="10"/>
        <rFont val="ＭＳ ゴシック"/>
        <family val="3"/>
        <charset val="128"/>
      </rPr>
      <t>年</t>
    </r>
    <r>
      <rPr>
        <sz val="10"/>
        <rFont val="Arial"/>
        <family val="2"/>
      </rPr>
      <t>3</t>
    </r>
    <r>
      <rPr>
        <sz val="10"/>
        <rFont val="ＭＳ ゴシック"/>
        <family val="3"/>
        <charset val="128"/>
      </rPr>
      <t>月期は</t>
    </r>
    <r>
      <rPr>
        <sz val="10"/>
        <rFont val="Arial"/>
        <family val="2"/>
      </rPr>
      <t>2</t>
    </r>
    <r>
      <rPr>
        <sz val="10"/>
        <rFont val="ＭＳ ゴシック"/>
        <family val="3"/>
        <charset val="128"/>
      </rPr>
      <t>社のﾘﾕｰｽ車の台数はｽﾄﾗﾋﾞｽに取込されているが、手数料が</t>
    </r>
    <r>
      <rPr>
        <sz val="10"/>
        <rFont val="Arial"/>
        <family val="2"/>
      </rPr>
      <t>STRAVIS</t>
    </r>
    <r>
      <rPr>
        <sz val="10"/>
        <rFont val="ＭＳ ゴシック"/>
        <family val="3"/>
        <charset val="128"/>
      </rPr>
      <t>に取り込まれておらず参照資料「</t>
    </r>
    <r>
      <rPr>
        <sz val="10"/>
        <rFont val="Arial"/>
        <family val="2"/>
      </rPr>
      <t>JAA,HAA</t>
    </r>
    <r>
      <rPr>
        <sz val="10"/>
        <rFont val="ＭＳ ゴシック"/>
        <family val="3"/>
        <charset val="128"/>
      </rPr>
      <t>リユース手数料実績</t>
    </r>
    <r>
      <rPr>
        <sz val="10"/>
        <rFont val="Arial"/>
        <family val="2"/>
      </rPr>
      <t>.xlsx</t>
    </r>
    <r>
      <rPr>
        <sz val="10"/>
        <rFont val="ＭＳ ゴシック"/>
        <family val="3"/>
        <charset val="128"/>
      </rPr>
      <t>」から手数料を追加している。そのためｽﾄﾗﾋﾞｽとは一致していない。</t>
    </r>
    <rPh sb="7" eb="8">
      <t>ネン</t>
    </rPh>
    <rPh sb="9" eb="11">
      <t>ガツキ</t>
    </rPh>
    <rPh sb="21" eb="23">
      <t>ジッセキ</t>
    </rPh>
    <rPh sb="24" eb="25">
      <t>フク</t>
    </rPh>
    <rPh sb="35" eb="36">
      <t>ネン</t>
    </rPh>
    <rPh sb="37" eb="39">
      <t>ガツキ</t>
    </rPh>
    <rPh sb="44" eb="45">
      <t>ネン</t>
    </rPh>
    <rPh sb="46" eb="48">
      <t>ガツキ</t>
    </rPh>
    <rPh sb="50" eb="51">
      <t>シャ</t>
    </rPh>
    <rPh sb="56" eb="57">
      <t>シャ</t>
    </rPh>
    <rPh sb="58" eb="60">
      <t>ダイスウ</t>
    </rPh>
    <rPh sb="68" eb="70">
      <t>トリコミ</t>
    </rPh>
    <rPh sb="77" eb="79">
      <t>テスウ</t>
    </rPh>
    <rPh sb="79" eb="80">
      <t>リョウ</t>
    </rPh>
    <rPh sb="89" eb="90">
      <t>ト</t>
    </rPh>
    <rPh sb="91" eb="92">
      <t>コ</t>
    </rPh>
    <rPh sb="98" eb="100">
      <t>サンショウ</t>
    </rPh>
    <rPh sb="100" eb="102">
      <t>シリョウ</t>
    </rPh>
    <rPh sb="127" eb="130">
      <t>テスウリョウ</t>
    </rPh>
    <rPh sb="131" eb="133">
      <t>ツイカ</t>
    </rPh>
    <rPh sb="150" eb="152">
      <t>イッチ</t>
    </rPh>
    <phoneticPr fontId="17"/>
  </si>
  <si>
    <r>
      <rPr>
        <sz val="10"/>
        <rFont val="ＭＳ ゴシック"/>
        <family val="3"/>
        <charset val="128"/>
      </rPr>
      <t>　　</t>
    </r>
    <r>
      <rPr>
        <sz val="10"/>
        <rFont val="Arial"/>
        <family val="2"/>
      </rPr>
      <t>2020</t>
    </r>
    <r>
      <rPr>
        <sz val="10"/>
        <rFont val="ＭＳ ゴシック"/>
        <family val="3"/>
        <charset val="128"/>
      </rPr>
      <t>年</t>
    </r>
    <r>
      <rPr>
        <sz val="10"/>
        <rFont val="Arial"/>
        <family val="2"/>
      </rPr>
      <t>3</t>
    </r>
    <r>
      <rPr>
        <sz val="10"/>
        <rFont val="ＭＳ ゴシック"/>
        <family val="3"/>
        <charset val="128"/>
      </rPr>
      <t>月期からはﾘﾕｰｽ車の手数料も</t>
    </r>
    <r>
      <rPr>
        <sz val="10"/>
        <rFont val="Arial"/>
        <family val="2"/>
      </rPr>
      <t>STRAVIS</t>
    </r>
    <r>
      <rPr>
        <sz val="10"/>
        <rFont val="ＭＳ ゴシック"/>
        <family val="3"/>
        <charset val="128"/>
      </rPr>
      <t>に取り込まれる</t>
    </r>
    <rPh sb="6" eb="7">
      <t>ネン</t>
    </rPh>
    <rPh sb="8" eb="10">
      <t>ガツキ</t>
    </rPh>
    <rPh sb="17" eb="18">
      <t>シャ</t>
    </rPh>
    <rPh sb="19" eb="22">
      <t>テスウリョウ</t>
    </rPh>
    <rPh sb="31" eb="32">
      <t>ト</t>
    </rPh>
    <rPh sb="33" eb="34">
      <t>コ</t>
    </rPh>
    <phoneticPr fontId="17"/>
  </si>
  <si>
    <r>
      <t xml:space="preserve">  </t>
    </r>
    <r>
      <rPr>
        <sz val="10"/>
        <rFont val="ＭＳ ゴシック"/>
        <family val="3"/>
        <charset val="128"/>
      </rPr>
      <t>■</t>
    </r>
    <r>
      <rPr>
        <sz val="10"/>
        <rFont val="Arial"/>
        <family val="2"/>
      </rPr>
      <t>2020.3</t>
    </r>
    <r>
      <rPr>
        <sz val="10"/>
        <rFont val="ＭＳ ゴシック"/>
        <family val="3"/>
        <charset val="128"/>
      </rPr>
      <t>期作成時に、ﾘﾕｰｽ対象ｺｰﾅｰの見直しを行った。その結果</t>
    </r>
    <r>
      <rPr>
        <sz val="10"/>
        <rFont val="Arial"/>
        <family val="2"/>
      </rPr>
      <t>2010.3</t>
    </r>
    <r>
      <rPr>
        <sz val="10"/>
        <rFont val="ＭＳ ゴシック"/>
        <family val="3"/>
        <charset val="128"/>
      </rPr>
      <t>期～</t>
    </r>
    <r>
      <rPr>
        <sz val="10"/>
        <rFont val="Arial"/>
        <family val="2"/>
      </rPr>
      <t>2019.3</t>
    </r>
    <r>
      <rPr>
        <sz val="10"/>
        <rFont val="ＭＳ ゴシック"/>
        <family val="3"/>
        <charset val="128"/>
      </rPr>
      <t>期のﾘﾕｰｽ台数と手数料を修正している。参照資料：ﾘﾕｰｽ対象ｺｰﾅｰ変更による修正</t>
    </r>
    <r>
      <rPr>
        <sz val="10"/>
        <rFont val="Arial"/>
        <family val="2"/>
      </rPr>
      <t>2010.3-2019.3.xlsm</t>
    </r>
    <rPh sb="9" eb="10">
      <t>キ</t>
    </rPh>
    <rPh sb="10" eb="12">
      <t>サクセイ</t>
    </rPh>
    <rPh sb="12" eb="13">
      <t>ジ</t>
    </rPh>
    <rPh sb="19" eb="21">
      <t>タイショウ</t>
    </rPh>
    <rPh sb="26" eb="28">
      <t>ミナオ</t>
    </rPh>
    <rPh sb="30" eb="31">
      <t>オコナ</t>
    </rPh>
    <rPh sb="36" eb="38">
      <t>ケッカ</t>
    </rPh>
    <rPh sb="44" eb="45">
      <t>キ</t>
    </rPh>
    <rPh sb="52" eb="53">
      <t>キ</t>
    </rPh>
    <rPh sb="58" eb="60">
      <t>ダイスウ</t>
    </rPh>
    <rPh sb="61" eb="64">
      <t>テスウリョウ</t>
    </rPh>
    <rPh sb="65" eb="67">
      <t>シュウセイ</t>
    </rPh>
    <rPh sb="72" eb="74">
      <t>サンショウ</t>
    </rPh>
    <rPh sb="74" eb="76">
      <t>シリョウ</t>
    </rPh>
    <phoneticPr fontId="17"/>
  </si>
  <si>
    <r>
      <rPr>
        <sz val="10"/>
        <rFont val="ＭＳ ゴシック"/>
        <family val="3"/>
        <charset val="128"/>
      </rPr>
      <t>　　その際に追加したｺﾒﾝﾄ「※低額車の定義を見直したことにともない、</t>
    </r>
    <r>
      <rPr>
        <sz val="10"/>
        <rFont val="Arial"/>
        <family val="2"/>
      </rPr>
      <t>2019</t>
    </r>
    <r>
      <rPr>
        <sz val="10"/>
        <rFont val="ＭＳ ゴシック"/>
        <family val="3"/>
        <charset val="128"/>
      </rPr>
      <t>年</t>
    </r>
    <r>
      <rPr>
        <sz val="10"/>
        <rFont val="Arial"/>
        <family val="2"/>
      </rPr>
      <t>3</t>
    </r>
    <r>
      <rPr>
        <sz val="10"/>
        <rFont val="ＭＳ ゴシック"/>
        <family val="3"/>
        <charset val="128"/>
      </rPr>
      <t>月期以前の</t>
    </r>
    <r>
      <rPr>
        <sz val="10"/>
        <rFont val="Arial"/>
        <family val="2"/>
      </rPr>
      <t>1</t>
    </r>
    <r>
      <rPr>
        <sz val="10"/>
        <rFont val="ＭＳ ゴシック"/>
        <family val="3"/>
        <charset val="128"/>
      </rPr>
      <t>台当たり手数料</t>
    </r>
    <r>
      <rPr>
        <sz val="10"/>
        <rFont val="Arial"/>
        <family val="2"/>
      </rPr>
      <t xml:space="preserve"> </t>
    </r>
    <r>
      <rPr>
        <sz val="10"/>
        <rFont val="ＭＳ ゴシック"/>
        <family val="3"/>
        <charset val="128"/>
      </rPr>
      <t>低額車除く（</t>
    </r>
    <r>
      <rPr>
        <sz val="10"/>
        <rFont val="Arial"/>
        <family val="2"/>
      </rPr>
      <t>JBA</t>
    </r>
    <r>
      <rPr>
        <sz val="10"/>
        <rFont val="ＭＳ ゴシック"/>
        <family val="3"/>
        <charset val="128"/>
      </rPr>
      <t>除く）は、遡及して修正表示しております。」は</t>
    </r>
    <r>
      <rPr>
        <sz val="10"/>
        <rFont val="Arial"/>
        <family val="2"/>
      </rPr>
      <t>2019.3</t>
    </r>
    <r>
      <rPr>
        <sz val="10"/>
        <rFont val="ＭＳ ゴシック"/>
        <family val="3"/>
        <charset val="128"/>
      </rPr>
      <t>期の記載がなくなる、</t>
    </r>
    <r>
      <rPr>
        <sz val="10"/>
        <color rgb="FFFF0000"/>
        <rFont val="Arial"/>
        <family val="2"/>
      </rPr>
      <t>2022.3</t>
    </r>
    <r>
      <rPr>
        <sz val="10"/>
        <color rgb="FFFF0000"/>
        <rFont val="ＭＳ ゴシック"/>
        <family val="3"/>
        <charset val="128"/>
      </rPr>
      <t>期作成時コメント削除</t>
    </r>
    <r>
      <rPr>
        <sz val="10"/>
        <rFont val="ＭＳ ゴシック"/>
        <family val="3"/>
        <charset val="128"/>
      </rPr>
      <t>する。</t>
    </r>
    <rPh sb="4" eb="5">
      <t>サイ</t>
    </rPh>
    <rPh sb="6" eb="8">
      <t>ツイカ</t>
    </rPh>
    <rPh sb="92" eb="93">
      <t>キ</t>
    </rPh>
    <rPh sb="94" eb="96">
      <t>キサイ</t>
    </rPh>
    <rPh sb="108" eb="109">
      <t>キ</t>
    </rPh>
    <rPh sb="109" eb="111">
      <t>サクセイ</t>
    </rPh>
    <rPh sb="111" eb="112">
      <t>ジ</t>
    </rPh>
    <rPh sb="116" eb="118">
      <t>サクジョ</t>
    </rPh>
    <phoneticPr fontId="17"/>
  </si>
  <si>
    <r>
      <t xml:space="preserve">  </t>
    </r>
    <r>
      <rPr>
        <sz val="10"/>
        <rFont val="ＭＳ ゴシック"/>
        <family val="3"/>
        <charset val="128"/>
      </rPr>
      <t>■</t>
    </r>
    <r>
      <rPr>
        <sz val="10"/>
        <rFont val="Arial"/>
        <family val="2"/>
      </rPr>
      <t>2021.3</t>
    </r>
    <r>
      <rPr>
        <sz val="10"/>
        <rFont val="ＭＳ ゴシック"/>
        <family val="3"/>
        <charset val="128"/>
      </rPr>
      <t>期作成時に、</t>
    </r>
    <r>
      <rPr>
        <sz val="10"/>
        <rFont val="Arial"/>
        <family val="2"/>
      </rPr>
      <t>2019</t>
    </r>
    <r>
      <rPr>
        <sz val="10"/>
        <rFont val="ＭＳ ゴシック"/>
        <family val="3"/>
        <charset val="128"/>
      </rPr>
      <t>年の</t>
    </r>
    <r>
      <rPr>
        <sz val="10"/>
        <rFont val="Arial"/>
        <family val="2"/>
      </rPr>
      <t>1</t>
    </r>
    <r>
      <rPr>
        <sz val="10"/>
        <rFont val="ＭＳ ゴシック"/>
        <family val="3"/>
        <charset val="128"/>
      </rPr>
      <t>台当たり手数料（</t>
    </r>
    <r>
      <rPr>
        <sz val="10"/>
        <rFont val="Arial"/>
        <family val="2"/>
      </rPr>
      <t>1</t>
    </r>
    <r>
      <rPr>
        <sz val="10"/>
        <rFont val="ＭＳ ゴシック"/>
        <family val="3"/>
        <charset val="128"/>
      </rPr>
      <t>台当たり手数料低額車を除く）を修正。（</t>
    </r>
    <r>
      <rPr>
        <sz val="10"/>
        <rFont val="Arial"/>
        <family val="2"/>
      </rPr>
      <t>2019</t>
    </r>
    <r>
      <rPr>
        <sz val="10"/>
        <rFont val="ＭＳ ゴシック"/>
        <family val="3"/>
        <charset val="128"/>
      </rPr>
      <t>年の</t>
    </r>
    <r>
      <rPr>
        <sz val="10"/>
        <rFont val="Arial"/>
        <family val="2"/>
      </rPr>
      <t>JAA</t>
    </r>
    <r>
      <rPr>
        <sz val="10"/>
        <rFont val="ＭＳ ゴシック"/>
        <family val="3"/>
        <charset val="128"/>
      </rPr>
      <t>・</t>
    </r>
    <r>
      <rPr>
        <sz val="10"/>
        <rFont val="Arial"/>
        <family val="2"/>
      </rPr>
      <t>HAA</t>
    </r>
    <r>
      <rPr>
        <sz val="10"/>
        <rFont val="ＭＳ ゴシック"/>
        <family val="3"/>
        <charset val="128"/>
      </rPr>
      <t>の手数料が誤っていたため）</t>
    </r>
    <rPh sb="9" eb="10">
      <t>キ</t>
    </rPh>
    <rPh sb="10" eb="12">
      <t>サクセイ</t>
    </rPh>
    <rPh sb="12" eb="13">
      <t>ジ</t>
    </rPh>
    <rPh sb="19" eb="20">
      <t>ネン</t>
    </rPh>
    <rPh sb="22" eb="23">
      <t>ダイ</t>
    </rPh>
    <rPh sb="23" eb="24">
      <t>ア</t>
    </rPh>
    <rPh sb="26" eb="29">
      <t>テスウリョウ</t>
    </rPh>
    <rPh sb="31" eb="32">
      <t>ダイ</t>
    </rPh>
    <rPh sb="32" eb="33">
      <t>ア</t>
    </rPh>
    <rPh sb="35" eb="38">
      <t>テスウリョウ</t>
    </rPh>
    <rPh sb="38" eb="40">
      <t>テイガク</t>
    </rPh>
    <rPh sb="40" eb="41">
      <t>シャ</t>
    </rPh>
    <rPh sb="42" eb="43">
      <t>ノゾ</t>
    </rPh>
    <rPh sb="46" eb="48">
      <t>シュウセイ</t>
    </rPh>
    <rPh sb="54" eb="55">
      <t>ネン</t>
    </rPh>
    <rPh sb="64" eb="67">
      <t>テスウリョウ</t>
    </rPh>
    <rPh sb="68" eb="69">
      <t>アヤマ</t>
    </rPh>
    <phoneticPr fontId="17"/>
  </si>
  <si>
    <r>
      <rPr>
        <sz val="10"/>
        <rFont val="ＭＳ ゴシック"/>
        <family val="3"/>
        <charset val="128"/>
      </rPr>
      <t>　■</t>
    </r>
    <r>
      <rPr>
        <sz val="10"/>
        <rFont val="Arial"/>
        <family val="2"/>
      </rPr>
      <t>2021.3</t>
    </r>
    <r>
      <rPr>
        <sz val="10"/>
        <rFont val="ＭＳ ゴシック"/>
        <family val="3"/>
        <charset val="128"/>
      </rPr>
      <t>期作成時に　</t>
    </r>
    <r>
      <rPr>
        <sz val="10"/>
        <rFont val="Arial"/>
        <family val="2"/>
      </rPr>
      <t>"</t>
    </r>
    <r>
      <rPr>
        <sz val="10"/>
        <rFont val="ＭＳ ゴシック"/>
        <family val="3"/>
        <charset val="128"/>
      </rPr>
      <t>落札手数料</t>
    </r>
    <r>
      <rPr>
        <sz val="10"/>
        <rFont val="Arial"/>
        <family val="2"/>
      </rPr>
      <t>"</t>
    </r>
    <r>
      <rPr>
        <sz val="10"/>
        <rFont val="ＭＳ ゴシック"/>
        <family val="3"/>
        <charset val="128"/>
      </rPr>
      <t>の英語（</t>
    </r>
    <r>
      <rPr>
        <sz val="10"/>
        <rFont val="Arial"/>
        <family val="2"/>
      </rPr>
      <t>Successful Bidding Fees</t>
    </r>
    <r>
      <rPr>
        <sz val="10"/>
        <rFont val="ＭＳ ゴシック"/>
        <family val="3"/>
        <charset val="128"/>
      </rPr>
      <t>）を決算説明資料に合わせて（</t>
    </r>
    <r>
      <rPr>
        <sz val="10"/>
        <rFont val="Arial"/>
        <family val="2"/>
      </rPr>
      <t>Successful Bid Fees</t>
    </r>
    <r>
      <rPr>
        <sz val="10"/>
        <rFont val="ＭＳ ゴシック"/>
        <family val="3"/>
        <charset val="128"/>
      </rPr>
      <t>）へ変更</t>
    </r>
    <rPh sb="15" eb="17">
      <t>ラクサツ</t>
    </rPh>
    <rPh sb="17" eb="20">
      <t>テスウリョウ</t>
    </rPh>
    <phoneticPr fontId="17"/>
  </si>
  <si>
    <r>
      <rPr>
        <sz val="10"/>
        <rFont val="ＭＳ ゴシック"/>
        <family val="3"/>
        <charset val="128"/>
      </rPr>
      <t>●参照資料：</t>
    </r>
    <r>
      <rPr>
        <sz val="10"/>
        <rFont val="Arial"/>
        <family val="2"/>
      </rPr>
      <t>D2110AL_</t>
    </r>
    <r>
      <rPr>
        <sz val="10"/>
        <rFont val="ＭＳ ゴシック"/>
        <family val="3"/>
        <charset val="128"/>
      </rPr>
      <t>●●</t>
    </r>
    <r>
      <rPr>
        <sz val="10"/>
        <rFont val="Arial"/>
        <family val="2"/>
      </rPr>
      <t>03</t>
    </r>
    <r>
      <rPr>
        <sz val="10"/>
        <rFont val="ＭＳ ゴシック"/>
        <family val="3"/>
        <charset val="128"/>
      </rPr>
      <t>グループ売上</t>
    </r>
    <r>
      <rPr>
        <sz val="10"/>
        <rFont val="Arial"/>
        <family val="2"/>
      </rPr>
      <t>.xls</t>
    </r>
    <r>
      <rPr>
        <sz val="10"/>
        <rFont val="ＭＳ ゴシック"/>
        <family val="3"/>
        <charset val="128"/>
      </rPr>
      <t>、</t>
    </r>
    <r>
      <rPr>
        <sz val="10"/>
        <rFont val="Arial"/>
        <family val="2"/>
      </rPr>
      <t>C9200AL_</t>
    </r>
    <r>
      <rPr>
        <sz val="10"/>
        <rFont val="ＭＳ ゴシック"/>
        <family val="3"/>
        <charset val="128"/>
      </rPr>
      <t>●●</t>
    </r>
    <r>
      <rPr>
        <sz val="10"/>
        <rFont val="Arial"/>
        <family val="2"/>
      </rPr>
      <t>03</t>
    </r>
    <r>
      <rPr>
        <sz val="10"/>
        <rFont val="ＭＳ ゴシック"/>
        <family val="3"/>
        <charset val="128"/>
      </rPr>
      <t>一台当たり手数料</t>
    </r>
    <r>
      <rPr>
        <sz val="10"/>
        <rFont val="Arial"/>
        <family val="2"/>
      </rPr>
      <t>.xlsm</t>
    </r>
    <rPh sb="1" eb="3">
      <t>サンショウ</t>
    </rPh>
    <rPh sb="3" eb="5">
      <t>シリョウ</t>
    </rPh>
    <rPh sb="22" eb="24">
      <t>ウリアゲ</t>
    </rPh>
    <rPh sb="41" eb="43">
      <t>イチダイ</t>
    </rPh>
    <rPh sb="43" eb="44">
      <t>ア</t>
    </rPh>
    <rPh sb="46" eb="48">
      <t>テスウ</t>
    </rPh>
    <rPh sb="48" eb="49">
      <t>リョウ</t>
    </rPh>
    <phoneticPr fontId="14"/>
  </si>
  <si>
    <r>
      <rPr>
        <sz val="9"/>
        <rFont val="ＭＳ Ｐゴシック"/>
        <family val="3"/>
        <charset val="128"/>
      </rPr>
      <t>リユース車コーナー</t>
    </r>
    <rPh sb="4" eb="5">
      <t>クルマ</t>
    </rPh>
    <phoneticPr fontId="17"/>
  </si>
  <si>
    <r>
      <rPr>
        <sz val="9"/>
        <rFont val="ＭＳ Ｐゴシック"/>
        <family val="3"/>
        <charset val="128"/>
      </rPr>
      <t>会場別ｼｰﾄ</t>
    </r>
    <rPh sb="0" eb="2">
      <t>カイジョウ</t>
    </rPh>
    <rPh sb="2" eb="3">
      <t>ベツ</t>
    </rPh>
    <phoneticPr fontId="17"/>
  </si>
  <si>
    <r>
      <rPr>
        <sz val="9"/>
        <rFont val="ＭＳ Ｐゴシック"/>
        <family val="3"/>
        <charset val="128"/>
      </rPr>
      <t>前期</t>
    </r>
    <rPh sb="0" eb="1">
      <t>ゼン</t>
    </rPh>
    <rPh sb="1" eb="2">
      <t>キ</t>
    </rPh>
    <phoneticPr fontId="17"/>
  </si>
  <si>
    <r>
      <rPr>
        <sz val="9"/>
        <rFont val="ＭＳ Ｐゴシック"/>
        <family val="3"/>
        <charset val="128"/>
      </rPr>
      <t>当期</t>
    </r>
    <rPh sb="0" eb="2">
      <t>トウキ</t>
    </rPh>
    <phoneticPr fontId="17"/>
  </si>
  <si>
    <r>
      <rPr>
        <sz val="9"/>
        <rFont val="ＭＳ Ｐゴシック"/>
        <family val="3"/>
        <charset val="128"/>
      </rPr>
      <t xml:space="preserve">出品台数
</t>
    </r>
    <r>
      <rPr>
        <sz val="9"/>
        <rFont val="Arial"/>
        <family val="2"/>
      </rPr>
      <t>No. of Consigned Vehicles</t>
    </r>
    <rPh sb="0" eb="2">
      <t>シュッピン</t>
    </rPh>
    <rPh sb="2" eb="4">
      <t>ダイスウ</t>
    </rPh>
    <phoneticPr fontId="17"/>
  </si>
  <si>
    <r>
      <rPr>
        <sz val="9"/>
        <rFont val="ＭＳ Ｐゴシック"/>
        <family val="3"/>
        <charset val="128"/>
      </rPr>
      <t xml:space="preserve">成約台数
</t>
    </r>
    <r>
      <rPr>
        <sz val="9"/>
        <rFont val="Arial"/>
        <family val="2"/>
      </rPr>
      <t>No. of Contracted Vehicles</t>
    </r>
    <rPh sb="0" eb="2">
      <t>セイヤク</t>
    </rPh>
    <rPh sb="2" eb="4">
      <t>ダイスウ</t>
    </rPh>
    <phoneticPr fontId="17"/>
  </si>
  <si>
    <r>
      <rPr>
        <sz val="9"/>
        <rFont val="ＭＳ Ｐゴシック"/>
        <family val="3"/>
        <charset val="128"/>
      </rPr>
      <t xml:space="preserve">成約率
</t>
    </r>
    <r>
      <rPr>
        <sz val="9"/>
        <rFont val="Arial"/>
        <family val="2"/>
      </rPr>
      <t>Contract Completion Rate</t>
    </r>
    <rPh sb="0" eb="2">
      <t>セイヤク</t>
    </rPh>
    <rPh sb="2" eb="3">
      <t>リツ</t>
    </rPh>
    <phoneticPr fontId="17"/>
  </si>
  <si>
    <r>
      <rPr>
        <sz val="9"/>
        <rFont val="ＭＳ Ｐゴシック"/>
        <family val="3"/>
        <charset val="128"/>
      </rPr>
      <t>←グラフの第</t>
    </r>
    <r>
      <rPr>
        <sz val="9"/>
        <rFont val="Arial"/>
        <family val="2"/>
      </rPr>
      <t>2</t>
    </r>
    <r>
      <rPr>
        <sz val="9"/>
        <rFont val="ＭＳ Ｐゴシック"/>
        <family val="3"/>
        <charset val="128"/>
      </rPr>
      <t>軸に「</t>
    </r>
    <r>
      <rPr>
        <sz val="9"/>
        <rFont val="Arial"/>
        <family val="2"/>
      </rPr>
      <t>%</t>
    </r>
    <r>
      <rPr>
        <sz val="9"/>
        <rFont val="ＭＳ Ｐゴシック"/>
        <family val="3"/>
        <charset val="128"/>
      </rPr>
      <t>」を表示させないための対応。</t>
    </r>
    <rPh sb="5" eb="6">
      <t>ダイ</t>
    </rPh>
    <rPh sb="7" eb="8">
      <t>ジク</t>
    </rPh>
    <rPh sb="13" eb="15">
      <t>ヒョウジ</t>
    </rPh>
    <rPh sb="22" eb="24">
      <t>タイオウ</t>
    </rPh>
    <phoneticPr fontId="17"/>
  </si>
  <si>
    <r>
      <rPr>
        <sz val="9"/>
        <rFont val="ＭＳ Ｐゴシック"/>
        <family val="3"/>
        <charset val="128"/>
      </rPr>
      <t>出品台数</t>
    </r>
    <rPh sb="0" eb="2">
      <t>シュッピン</t>
    </rPh>
    <rPh sb="2" eb="4">
      <t>ダイスウ</t>
    </rPh>
    <phoneticPr fontId="17"/>
  </si>
  <si>
    <r>
      <rPr>
        <sz val="9"/>
        <rFont val="ＭＳ Ｐゴシック"/>
        <family val="3"/>
        <charset val="128"/>
      </rPr>
      <t>総出品台数</t>
    </r>
    <rPh sb="0" eb="1">
      <t>ソウ</t>
    </rPh>
    <rPh sb="1" eb="3">
      <t>シュッピン</t>
    </rPh>
    <rPh sb="3" eb="5">
      <t>ダイスウ</t>
    </rPh>
    <phoneticPr fontId="17"/>
  </si>
  <si>
    <r>
      <rPr>
        <sz val="9"/>
        <rFont val="ＭＳ Ｐゴシック"/>
        <family val="3"/>
        <charset val="128"/>
      </rPr>
      <t>リユース台数</t>
    </r>
    <rPh sb="4" eb="6">
      <t>ダイスウ</t>
    </rPh>
    <phoneticPr fontId="17"/>
  </si>
  <si>
    <r>
      <rPr>
        <sz val="9"/>
        <rFont val="ＭＳ Ｐゴシック"/>
        <family val="3"/>
        <charset val="128"/>
      </rPr>
      <t>リユース割合</t>
    </r>
    <rPh sb="4" eb="6">
      <t>ワリアイ</t>
    </rPh>
    <phoneticPr fontId="17"/>
  </si>
  <si>
    <r>
      <t>2019</t>
    </r>
    <r>
      <rPr>
        <sz val="9"/>
        <rFont val="ＭＳ Ｐゴシック"/>
        <family val="3"/>
        <charset val="128"/>
      </rPr>
      <t>年</t>
    </r>
    <r>
      <rPr>
        <sz val="9"/>
        <rFont val="Arial"/>
        <family val="2"/>
      </rPr>
      <t>3</t>
    </r>
    <r>
      <rPr>
        <sz val="9"/>
        <rFont val="ＭＳ Ｐゴシック"/>
        <family val="3"/>
        <charset val="128"/>
      </rPr>
      <t>月期修正：折れ線棒グラフの凡例の大きさを修正</t>
    </r>
    <rPh sb="4" eb="5">
      <t>ネン</t>
    </rPh>
    <rPh sb="6" eb="8">
      <t>ガツキ</t>
    </rPh>
    <rPh sb="8" eb="10">
      <t>シュウセイ</t>
    </rPh>
    <rPh sb="11" eb="12">
      <t>オ</t>
    </rPh>
    <rPh sb="13" eb="14">
      <t>セン</t>
    </rPh>
    <rPh sb="14" eb="15">
      <t>ボウ</t>
    </rPh>
    <rPh sb="19" eb="21">
      <t>ハンレイ</t>
    </rPh>
    <rPh sb="22" eb="23">
      <t>オオ</t>
    </rPh>
    <rPh sb="26" eb="28">
      <t>シュウセイ</t>
    </rPh>
    <phoneticPr fontId="17"/>
  </si>
  <si>
    <r>
      <rPr>
        <sz val="9"/>
        <rFont val="ＭＳ Ｐゴシック"/>
        <family val="3"/>
        <charset val="128"/>
      </rPr>
      <t>●</t>
    </r>
    <r>
      <rPr>
        <sz val="9"/>
        <rFont val="Arial"/>
        <family val="2"/>
      </rPr>
      <t>2020.3</t>
    </r>
    <r>
      <rPr>
        <sz val="9"/>
        <rFont val="ＭＳ Ｐゴシック"/>
        <family val="3"/>
        <charset val="128"/>
      </rPr>
      <t>期作成時に、ﾘﾕｰｽ対象ｺｰﾅｰの見直しを行った。その結果</t>
    </r>
    <r>
      <rPr>
        <sz val="9"/>
        <rFont val="Arial"/>
        <family val="2"/>
      </rPr>
      <t>2010.3</t>
    </r>
    <r>
      <rPr>
        <sz val="9"/>
        <rFont val="ＭＳ Ｐゴシック"/>
        <family val="3"/>
        <charset val="128"/>
      </rPr>
      <t>期～</t>
    </r>
    <r>
      <rPr>
        <sz val="9"/>
        <rFont val="Arial"/>
        <family val="2"/>
      </rPr>
      <t>2019.3</t>
    </r>
    <r>
      <rPr>
        <sz val="9"/>
        <rFont val="ＭＳ Ｐゴシック"/>
        <family val="3"/>
        <charset val="128"/>
      </rPr>
      <t>期のﾘﾕｰｽ台数と手数料を修正している。　参照資料：リユース手数料修正まとめ</t>
    </r>
    <r>
      <rPr>
        <sz val="9"/>
        <rFont val="Arial"/>
        <family val="2"/>
      </rPr>
      <t>.xlsm</t>
    </r>
    <phoneticPr fontId="17"/>
  </si>
  <si>
    <r>
      <rPr>
        <sz val="9"/>
        <rFont val="ＭＳ Ｐゴシック"/>
        <family val="3"/>
        <charset val="128"/>
      </rPr>
      <t>　　その際に追加したｺﾒﾝﾄ「※低額車の定義を見直したことにともない、</t>
    </r>
    <r>
      <rPr>
        <sz val="9"/>
        <rFont val="Arial"/>
        <family val="2"/>
      </rPr>
      <t>2019</t>
    </r>
    <r>
      <rPr>
        <sz val="9"/>
        <rFont val="ＭＳ Ｐゴシック"/>
        <family val="3"/>
        <charset val="128"/>
      </rPr>
      <t>年</t>
    </r>
    <r>
      <rPr>
        <sz val="9"/>
        <rFont val="Arial"/>
        <family val="2"/>
      </rPr>
      <t>3</t>
    </r>
    <r>
      <rPr>
        <sz val="9"/>
        <rFont val="ＭＳ Ｐゴシック"/>
        <family val="3"/>
        <charset val="128"/>
      </rPr>
      <t>月期以前の</t>
    </r>
    <r>
      <rPr>
        <sz val="9"/>
        <rFont val="Arial"/>
        <family val="2"/>
      </rPr>
      <t>1</t>
    </r>
    <r>
      <rPr>
        <sz val="9"/>
        <rFont val="ＭＳ Ｐゴシック"/>
        <family val="3"/>
        <charset val="128"/>
      </rPr>
      <t>台当たり手数料</t>
    </r>
    <r>
      <rPr>
        <sz val="9"/>
        <rFont val="Arial"/>
        <family val="2"/>
      </rPr>
      <t xml:space="preserve"> </t>
    </r>
    <r>
      <rPr>
        <sz val="9"/>
        <rFont val="ＭＳ Ｐゴシック"/>
        <family val="3"/>
        <charset val="128"/>
      </rPr>
      <t>低額車除く（</t>
    </r>
    <r>
      <rPr>
        <sz val="9"/>
        <rFont val="Arial"/>
        <family val="2"/>
      </rPr>
      <t>JBA</t>
    </r>
    <r>
      <rPr>
        <sz val="9"/>
        <rFont val="ＭＳ Ｐゴシック"/>
        <family val="3"/>
        <charset val="128"/>
      </rPr>
      <t>除く）は、遡及して修正表示しております。」は</t>
    </r>
    <r>
      <rPr>
        <sz val="9"/>
        <rFont val="Arial"/>
        <family val="2"/>
      </rPr>
      <t>2022.3</t>
    </r>
    <r>
      <rPr>
        <sz val="9"/>
        <rFont val="ＭＳ Ｐゴシック"/>
        <family val="3"/>
        <charset val="128"/>
      </rPr>
      <t>期作成時削除。</t>
    </r>
    <rPh sb="93" eb="95">
      <t>サクセイ</t>
    </rPh>
    <rPh sb="95" eb="96">
      <t>ジ</t>
    </rPh>
    <rPh sb="96" eb="98">
      <t>サクジョ</t>
    </rPh>
    <phoneticPr fontId="17"/>
  </si>
  <si>
    <r>
      <rPr>
        <sz val="9"/>
        <rFont val="ＭＳ Ｐゴシック"/>
        <family val="3"/>
        <charset val="128"/>
      </rPr>
      <t>●</t>
    </r>
    <r>
      <rPr>
        <sz val="9"/>
        <rFont val="Arial"/>
        <family val="2"/>
      </rPr>
      <t>2020.3</t>
    </r>
    <r>
      <rPr>
        <sz val="9"/>
        <rFont val="ＭＳ Ｐゴシック"/>
        <family val="3"/>
        <charset val="128"/>
      </rPr>
      <t>期作成時に　</t>
    </r>
    <r>
      <rPr>
        <sz val="9"/>
        <rFont val="Arial"/>
        <family val="2"/>
      </rPr>
      <t>"</t>
    </r>
    <r>
      <rPr>
        <sz val="9"/>
        <rFont val="ＭＳ Ｐゴシック"/>
        <family val="3"/>
        <charset val="128"/>
      </rPr>
      <t>低額車</t>
    </r>
    <r>
      <rPr>
        <sz val="9"/>
        <rFont val="Arial"/>
        <family val="2"/>
      </rPr>
      <t>"</t>
    </r>
    <r>
      <rPr>
        <sz val="9"/>
        <rFont val="ＭＳ Ｐゴシック"/>
        <family val="3"/>
        <charset val="128"/>
      </rPr>
      <t>の英語（</t>
    </r>
    <r>
      <rPr>
        <sz val="9"/>
        <rFont val="Arial"/>
        <family val="2"/>
      </rPr>
      <t>Reusable Vehicle</t>
    </r>
    <r>
      <rPr>
        <sz val="9"/>
        <rFont val="ＭＳ Ｐゴシック"/>
        <family val="3"/>
        <charset val="128"/>
      </rPr>
      <t>）を決算説明資料に合わせて（</t>
    </r>
    <r>
      <rPr>
        <sz val="9"/>
        <rFont val="Arial"/>
        <family val="2"/>
      </rPr>
      <t>Lower-priced vehicles</t>
    </r>
    <r>
      <rPr>
        <sz val="9"/>
        <rFont val="ＭＳ Ｐゴシック"/>
        <family val="3"/>
        <charset val="128"/>
      </rPr>
      <t>）へ変更</t>
    </r>
    <phoneticPr fontId="17"/>
  </si>
  <si>
    <r>
      <rPr>
        <sz val="9"/>
        <rFont val="ＭＳ Ｐゴシック"/>
        <family val="3"/>
        <charset val="128"/>
      </rPr>
      <t>参照資料：</t>
    </r>
    <rPh sb="0" eb="2">
      <t>サンショウ</t>
    </rPh>
    <rPh sb="2" eb="4">
      <t>シリョウ</t>
    </rPh>
    <phoneticPr fontId="17"/>
  </si>
  <si>
    <r>
      <rPr>
        <sz val="9"/>
        <rFont val="ＭＳ Ｐゴシック"/>
        <family val="3"/>
        <charset val="128"/>
      </rPr>
      <t>●車種別出品実績</t>
    </r>
    <r>
      <rPr>
        <sz val="9"/>
        <rFont val="Arial"/>
        <family val="2"/>
      </rPr>
      <t>Ver1.4.5_22.03</t>
    </r>
    <r>
      <rPr>
        <sz val="9"/>
        <rFont val="ＭＳ Ｐゴシック"/>
        <family val="3"/>
        <charset val="128"/>
      </rPr>
      <t>期</t>
    </r>
    <r>
      <rPr>
        <sz val="9"/>
        <rFont val="Arial"/>
        <family val="2"/>
      </rPr>
      <t>.xlsm</t>
    </r>
    <phoneticPr fontId="17"/>
  </si>
  <si>
    <r>
      <rPr>
        <sz val="6"/>
        <rFont val="メイリオ"/>
        <family val="3"/>
        <charset val="128"/>
      </rPr>
      <t>※</t>
    </r>
    <r>
      <rPr>
        <sz val="6"/>
        <rFont val="Arial"/>
        <family val="2"/>
      </rPr>
      <t>2017</t>
    </r>
    <r>
      <rPr>
        <sz val="6"/>
        <rFont val="メイリオ"/>
        <family val="3"/>
        <charset val="128"/>
      </rPr>
      <t>年</t>
    </r>
    <r>
      <rPr>
        <sz val="6"/>
        <rFont val="Arial"/>
        <family val="2"/>
      </rPr>
      <t>10</t>
    </r>
    <r>
      <rPr>
        <sz val="6"/>
        <rFont val="メイリオ"/>
        <family val="3"/>
        <charset val="128"/>
      </rPr>
      <t>月より</t>
    </r>
    <r>
      <rPr>
        <sz val="6"/>
        <rFont val="Arial"/>
        <family val="2"/>
      </rPr>
      <t>JAA</t>
    </r>
    <r>
      <rPr>
        <sz val="6"/>
        <rFont val="メイリオ"/>
        <family val="3"/>
        <charset val="128"/>
      </rPr>
      <t>、</t>
    </r>
    <r>
      <rPr>
        <sz val="6"/>
        <rFont val="Arial"/>
        <family val="2"/>
      </rPr>
      <t>HAA</t>
    </r>
    <r>
      <rPr>
        <sz val="6"/>
        <rFont val="メイリオ"/>
        <family val="3"/>
        <charset val="128"/>
      </rPr>
      <t>神戸の実績を含めております。　</t>
    </r>
    <rPh sb="5" eb="6">
      <t>ネン</t>
    </rPh>
    <rPh sb="8" eb="9">
      <t>ガツ</t>
    </rPh>
    <rPh sb="18" eb="20">
      <t>コウベ</t>
    </rPh>
    <rPh sb="21" eb="23">
      <t>ジッセキ</t>
    </rPh>
    <rPh sb="24" eb="25">
      <t>フク</t>
    </rPh>
    <phoneticPr fontId="17"/>
  </si>
  <si>
    <t>※低額車の定義を見直したことにともない、2019.3期以前の低額車取扱台数は遡及して修正表示しております。</t>
    <phoneticPr fontId="17"/>
  </si>
  <si>
    <t xml:space="preserve">*The figures in this page include JAA and HAA Kobe from October 2017 onward. </t>
    <phoneticPr fontId="17"/>
  </si>
  <si>
    <t>*Lower-priced vehicles Auction Data for the periods before 2019.3 are retroactively adjusted to conform to the revised definition of Lower-priced vehicles.</t>
    <phoneticPr fontId="17"/>
  </si>
  <si>
    <r>
      <t xml:space="preserve"> </t>
    </r>
    <r>
      <rPr>
        <sz val="7"/>
        <rFont val="メイリオ"/>
        <family val="3"/>
        <charset val="128"/>
      </rPr>
      <t>現車会員　</t>
    </r>
    <r>
      <rPr>
        <sz val="7"/>
        <rFont val="Arial"/>
        <family val="2"/>
      </rPr>
      <t>On-site Auction Members</t>
    </r>
    <rPh sb="1" eb="2">
      <t>ゲン</t>
    </rPh>
    <rPh sb="2" eb="3">
      <t>クルマ</t>
    </rPh>
    <rPh sb="3" eb="5">
      <t>カイイン</t>
    </rPh>
    <phoneticPr fontId="17"/>
  </si>
  <si>
    <r>
      <t xml:space="preserve"> </t>
    </r>
    <r>
      <rPr>
        <sz val="7"/>
        <rFont val="メイリオ"/>
        <family val="3"/>
        <charset val="128"/>
      </rPr>
      <t>外部落札台数合計　</t>
    </r>
    <r>
      <rPr>
        <sz val="7"/>
        <rFont val="Arial"/>
        <family val="2"/>
      </rPr>
      <t>No. of Successful Off-site Bids</t>
    </r>
    <rPh sb="1" eb="3">
      <t>ガイブ</t>
    </rPh>
    <rPh sb="3" eb="5">
      <t>ラクサツ</t>
    </rPh>
    <rPh sb="5" eb="7">
      <t>ダイスウ</t>
    </rPh>
    <rPh sb="7" eb="9">
      <t>ゴウケイ</t>
    </rPh>
    <phoneticPr fontId="14"/>
  </si>
  <si>
    <r>
      <rPr>
        <sz val="10"/>
        <rFont val="ＭＳ ゴシック"/>
        <family val="3"/>
        <charset val="128"/>
      </rPr>
      <t>月次</t>
    </r>
    <rPh sb="0" eb="2">
      <t>ゲツジ</t>
    </rPh>
    <phoneticPr fontId="14"/>
  </si>
  <si>
    <r>
      <rPr>
        <sz val="10"/>
        <rFont val="ＭＳ ゴシック"/>
        <family val="3"/>
        <charset val="128"/>
      </rPr>
      <t>会場別</t>
    </r>
    <rPh sb="0" eb="2">
      <t>カイジョウ</t>
    </rPh>
    <rPh sb="2" eb="3">
      <t>ベツ</t>
    </rPh>
    <phoneticPr fontId="14"/>
  </si>
  <si>
    <r>
      <t xml:space="preserve"> </t>
    </r>
    <r>
      <rPr>
        <sz val="7"/>
        <rFont val="メイリオ"/>
        <family val="3"/>
        <charset val="128"/>
      </rPr>
      <t>落札台数　</t>
    </r>
    <r>
      <rPr>
        <sz val="7"/>
        <rFont val="Arial"/>
        <family val="2"/>
      </rPr>
      <t>No. of Successful Bids</t>
    </r>
    <rPh sb="1" eb="3">
      <t>ラクサツ</t>
    </rPh>
    <rPh sb="3" eb="5">
      <t>ダイスウ</t>
    </rPh>
    <phoneticPr fontId="14"/>
  </si>
  <si>
    <r>
      <t>USS</t>
    </r>
    <r>
      <rPr>
        <sz val="10"/>
        <rFont val="ＭＳ ゴシック"/>
        <family val="3"/>
        <charset val="128"/>
      </rPr>
      <t>落札台数</t>
    </r>
    <rPh sb="3" eb="5">
      <t>ラクサツ</t>
    </rPh>
    <rPh sb="5" eb="7">
      <t>ダイスウ</t>
    </rPh>
    <phoneticPr fontId="14"/>
  </si>
  <si>
    <r>
      <t xml:space="preserve"> </t>
    </r>
    <r>
      <rPr>
        <sz val="7"/>
        <rFont val="メイリオ"/>
        <family val="3"/>
        <charset val="128"/>
      </rPr>
      <t>外部落札比率　</t>
    </r>
    <r>
      <rPr>
        <sz val="7"/>
        <rFont val="Arial"/>
        <family val="2"/>
      </rPr>
      <t>Ratio of Successful Off-site Bids</t>
    </r>
    <rPh sb="1" eb="3">
      <t>ガイブ</t>
    </rPh>
    <rPh sb="3" eb="5">
      <t>ラクサツ</t>
    </rPh>
    <rPh sb="5" eb="7">
      <t>ヒリツ</t>
    </rPh>
    <phoneticPr fontId="14"/>
  </si>
  <si>
    <r>
      <t>2015</t>
    </r>
    <r>
      <rPr>
        <sz val="10"/>
        <rFont val="ＭＳ ゴシック"/>
        <family val="3"/>
        <charset val="128"/>
      </rPr>
      <t>年</t>
    </r>
    <r>
      <rPr>
        <sz val="10"/>
        <rFont val="Arial"/>
        <family val="2"/>
      </rPr>
      <t>6</t>
    </r>
    <r>
      <rPr>
        <sz val="10"/>
        <rFont val="ＭＳ ゴシック"/>
        <family val="3"/>
        <charset val="128"/>
      </rPr>
      <t>月の第</t>
    </r>
    <r>
      <rPr>
        <sz val="10"/>
        <rFont val="Arial"/>
        <family val="2"/>
      </rPr>
      <t>1</t>
    </r>
    <r>
      <rPr>
        <sz val="10"/>
        <rFont val="ＭＳ ゴシック"/>
        <family val="3"/>
        <charset val="128"/>
      </rPr>
      <t>四半期より、</t>
    </r>
    <r>
      <rPr>
        <sz val="10"/>
        <rFont val="Arial"/>
        <family val="2"/>
      </rPr>
      <t>TV</t>
    </r>
    <r>
      <rPr>
        <sz val="10"/>
        <rFont val="ＭＳ ゴシック"/>
        <family val="3"/>
        <charset val="128"/>
      </rPr>
      <t>商談落札件数を外部落札台数に含めることにした。元々</t>
    </r>
    <r>
      <rPr>
        <sz val="10"/>
        <rFont val="Arial"/>
        <family val="2"/>
      </rPr>
      <t>CIS</t>
    </r>
    <r>
      <rPr>
        <sz val="10"/>
        <rFont val="ＭＳ ゴシック"/>
        <family val="3"/>
        <charset val="128"/>
      </rPr>
      <t>の落札台数には商談落札件数が含まれており、</t>
    </r>
    <rPh sb="4" eb="5">
      <t>ネン</t>
    </rPh>
    <rPh sb="6" eb="7">
      <t>ガツ</t>
    </rPh>
    <rPh sb="8" eb="9">
      <t>ダイ</t>
    </rPh>
    <rPh sb="10" eb="13">
      <t>シハンキ</t>
    </rPh>
    <rPh sb="18" eb="20">
      <t>ショウダン</t>
    </rPh>
    <rPh sb="20" eb="22">
      <t>ラクサツ</t>
    </rPh>
    <rPh sb="22" eb="24">
      <t>ケンスウ</t>
    </rPh>
    <rPh sb="25" eb="27">
      <t>ガイブ</t>
    </rPh>
    <rPh sb="27" eb="29">
      <t>ラクサツ</t>
    </rPh>
    <rPh sb="29" eb="31">
      <t>ダイスウ</t>
    </rPh>
    <rPh sb="32" eb="33">
      <t>フク</t>
    </rPh>
    <rPh sb="41" eb="43">
      <t>モトモト</t>
    </rPh>
    <rPh sb="47" eb="49">
      <t>ラクサツ</t>
    </rPh>
    <rPh sb="49" eb="51">
      <t>ダイスウ</t>
    </rPh>
    <rPh sb="53" eb="55">
      <t>ショウダン</t>
    </rPh>
    <rPh sb="55" eb="57">
      <t>ラクサツ</t>
    </rPh>
    <rPh sb="57" eb="59">
      <t>ケンスウ</t>
    </rPh>
    <rPh sb="60" eb="61">
      <t>フク</t>
    </rPh>
    <phoneticPr fontId="14"/>
  </si>
  <si>
    <r>
      <t>CIS</t>
    </r>
    <r>
      <rPr>
        <sz val="10"/>
        <rFont val="ＭＳ ゴシック"/>
        <family val="3"/>
        <charset val="128"/>
      </rPr>
      <t>と</t>
    </r>
    <r>
      <rPr>
        <sz val="10"/>
        <rFont val="Arial"/>
        <family val="2"/>
      </rPr>
      <t>TV</t>
    </r>
    <r>
      <rPr>
        <sz val="10"/>
        <rFont val="ＭＳ ゴシック"/>
        <family val="3"/>
        <charset val="128"/>
      </rPr>
      <t>の整合性を合わせることになった</t>
    </r>
    <r>
      <rPr>
        <sz val="10"/>
        <rFont val="Arial"/>
        <family val="2"/>
      </rPr>
      <t>(2015/8/7</t>
    </r>
    <r>
      <rPr>
        <sz val="10"/>
        <rFont val="ＭＳ ゴシック"/>
        <family val="3"/>
        <charset val="128"/>
      </rPr>
      <t>服部上席次長確認</t>
    </r>
    <r>
      <rPr>
        <sz val="10"/>
        <rFont val="Arial"/>
        <family val="2"/>
      </rPr>
      <t>)</t>
    </r>
    <r>
      <rPr>
        <sz val="10"/>
        <rFont val="ＭＳ ゴシック"/>
        <family val="3"/>
        <charset val="128"/>
      </rPr>
      <t>。ただし、データの確認できた</t>
    </r>
    <r>
      <rPr>
        <sz val="10"/>
        <rFont val="Arial"/>
        <family val="2"/>
      </rPr>
      <t>2011.3</t>
    </r>
    <r>
      <rPr>
        <sz val="10"/>
        <rFont val="ＭＳ ゴシック"/>
        <family val="3"/>
        <charset val="128"/>
      </rPr>
      <t>期～</t>
    </r>
    <r>
      <rPr>
        <sz val="10"/>
        <rFont val="Arial"/>
        <family val="2"/>
      </rPr>
      <t>2015.3</t>
    </r>
    <r>
      <rPr>
        <sz val="10"/>
        <rFont val="ＭＳ ゴシック"/>
        <family val="3"/>
        <charset val="128"/>
      </rPr>
      <t>期までが修正対象。</t>
    </r>
    <rPh sb="7" eb="10">
      <t>セイゴウセイ</t>
    </rPh>
    <rPh sb="11" eb="12">
      <t>ア</t>
    </rPh>
    <rPh sb="30" eb="32">
      <t>ハットリ</t>
    </rPh>
    <rPh sb="32" eb="34">
      <t>ジョウセキ</t>
    </rPh>
    <rPh sb="34" eb="36">
      <t>ジチョウ</t>
    </rPh>
    <rPh sb="36" eb="38">
      <t>カクニン</t>
    </rPh>
    <rPh sb="48" eb="50">
      <t>カクニン</t>
    </rPh>
    <rPh sb="59" eb="60">
      <t>キ</t>
    </rPh>
    <rPh sb="67" eb="68">
      <t>キ</t>
    </rPh>
    <rPh sb="71" eb="73">
      <t>シュウセイ</t>
    </rPh>
    <rPh sb="73" eb="75">
      <t>タイショウ</t>
    </rPh>
    <phoneticPr fontId="14"/>
  </si>
  <si>
    <r>
      <rPr>
        <sz val="10"/>
        <rFont val="ＭＳ ゴシック"/>
        <family val="3"/>
        <charset val="128"/>
      </rPr>
      <t>以下の台数を「</t>
    </r>
    <r>
      <rPr>
        <sz val="10"/>
        <rFont val="Arial"/>
        <family val="2"/>
      </rPr>
      <t>TV(</t>
    </r>
    <r>
      <rPr>
        <sz val="10"/>
        <rFont val="ＭＳ ゴシック"/>
        <family val="3"/>
        <charset val="128"/>
      </rPr>
      <t>衛星</t>
    </r>
    <r>
      <rPr>
        <sz val="10"/>
        <rFont val="Arial"/>
        <family val="2"/>
      </rPr>
      <t>)</t>
    </r>
    <r>
      <rPr>
        <sz val="10"/>
        <rFont val="ＭＳ ゴシック"/>
        <family val="3"/>
        <charset val="128"/>
      </rPr>
      <t>落札台数」に含める。</t>
    </r>
    <rPh sb="0" eb="2">
      <t>イカ</t>
    </rPh>
    <rPh sb="3" eb="5">
      <t>ダイスウ</t>
    </rPh>
    <rPh sb="10" eb="12">
      <t>エイセイ</t>
    </rPh>
    <rPh sb="13" eb="15">
      <t>ラクサツ</t>
    </rPh>
    <rPh sb="15" eb="17">
      <t>ダイスウ</t>
    </rPh>
    <rPh sb="19" eb="20">
      <t>フク</t>
    </rPh>
    <phoneticPr fontId="14"/>
  </si>
  <si>
    <r>
      <rPr>
        <sz val="10"/>
        <rFont val="ＭＳ ゴシック"/>
        <family val="3"/>
        <charset val="128"/>
      </rPr>
      <t>　</t>
    </r>
    <r>
      <rPr>
        <sz val="10"/>
        <rFont val="Arial"/>
        <family val="2"/>
      </rPr>
      <t>2011.3</t>
    </r>
    <r>
      <rPr>
        <sz val="10"/>
        <rFont val="ＭＳ ゴシック"/>
        <family val="3"/>
        <charset val="128"/>
      </rPr>
      <t>期：</t>
    </r>
    <r>
      <rPr>
        <sz val="10"/>
        <rFont val="Arial"/>
        <family val="2"/>
      </rPr>
      <t>29,820</t>
    </r>
    <r>
      <rPr>
        <sz val="10"/>
        <rFont val="ＭＳ ゴシック"/>
        <family val="3"/>
        <charset val="128"/>
      </rPr>
      <t>台、</t>
    </r>
    <r>
      <rPr>
        <sz val="10"/>
        <rFont val="Arial"/>
        <family val="2"/>
      </rPr>
      <t>2012.3</t>
    </r>
    <r>
      <rPr>
        <sz val="10"/>
        <rFont val="ＭＳ ゴシック"/>
        <family val="3"/>
        <charset val="128"/>
      </rPr>
      <t>期：</t>
    </r>
    <r>
      <rPr>
        <sz val="10"/>
        <rFont val="Arial"/>
        <family val="2"/>
      </rPr>
      <t>28,513</t>
    </r>
    <r>
      <rPr>
        <sz val="10"/>
        <rFont val="ＭＳ ゴシック"/>
        <family val="3"/>
        <charset val="128"/>
      </rPr>
      <t>台、</t>
    </r>
    <r>
      <rPr>
        <sz val="10"/>
        <rFont val="Arial"/>
        <family val="2"/>
      </rPr>
      <t>2013.3</t>
    </r>
    <r>
      <rPr>
        <sz val="10"/>
        <rFont val="ＭＳ ゴシック"/>
        <family val="3"/>
        <charset val="128"/>
      </rPr>
      <t>期：</t>
    </r>
    <r>
      <rPr>
        <sz val="10"/>
        <rFont val="Arial"/>
        <family val="2"/>
      </rPr>
      <t>27,581</t>
    </r>
    <r>
      <rPr>
        <sz val="10"/>
        <rFont val="ＭＳ ゴシック"/>
        <family val="3"/>
        <charset val="128"/>
      </rPr>
      <t>台、</t>
    </r>
    <r>
      <rPr>
        <sz val="10"/>
        <rFont val="Arial"/>
        <family val="2"/>
      </rPr>
      <t>2014.3</t>
    </r>
    <r>
      <rPr>
        <sz val="10"/>
        <rFont val="ＭＳ ゴシック"/>
        <family val="3"/>
        <charset val="128"/>
      </rPr>
      <t>期：</t>
    </r>
    <r>
      <rPr>
        <sz val="10"/>
        <rFont val="Arial"/>
        <family val="2"/>
      </rPr>
      <t>28,077</t>
    </r>
    <r>
      <rPr>
        <sz val="10"/>
        <rFont val="ＭＳ ゴシック"/>
        <family val="3"/>
        <charset val="128"/>
      </rPr>
      <t>台、</t>
    </r>
    <r>
      <rPr>
        <sz val="10"/>
        <rFont val="Arial"/>
        <family val="2"/>
      </rPr>
      <t>2015.3</t>
    </r>
    <r>
      <rPr>
        <sz val="10"/>
        <rFont val="ＭＳ ゴシック"/>
        <family val="3"/>
        <charset val="128"/>
      </rPr>
      <t>期：</t>
    </r>
    <r>
      <rPr>
        <sz val="10"/>
        <rFont val="Arial"/>
        <family val="2"/>
      </rPr>
      <t>28,736</t>
    </r>
    <r>
      <rPr>
        <sz val="10"/>
        <rFont val="ＭＳ ゴシック"/>
        <family val="3"/>
        <charset val="128"/>
      </rPr>
      <t>台</t>
    </r>
    <rPh sb="7" eb="8">
      <t>キ</t>
    </rPh>
    <rPh sb="15" eb="16">
      <t>ダイ</t>
    </rPh>
    <rPh sb="23" eb="24">
      <t>キ</t>
    </rPh>
    <rPh sb="31" eb="32">
      <t>ダイ</t>
    </rPh>
    <rPh sb="39" eb="40">
      <t>キ</t>
    </rPh>
    <rPh sb="47" eb="48">
      <t>ダイ</t>
    </rPh>
    <rPh sb="55" eb="56">
      <t>キ</t>
    </rPh>
    <rPh sb="63" eb="64">
      <t>ダイ</t>
    </rPh>
    <rPh sb="71" eb="72">
      <t>キ</t>
    </rPh>
    <rPh sb="79" eb="80">
      <t>ダイ</t>
    </rPh>
    <phoneticPr fontId="14"/>
  </si>
  <si>
    <r>
      <t>2015</t>
    </r>
    <r>
      <rPr>
        <sz val="10"/>
        <rFont val="ＭＳ ゴシック"/>
        <family val="3"/>
        <charset val="128"/>
      </rPr>
      <t>年</t>
    </r>
    <r>
      <rPr>
        <sz val="10"/>
        <rFont val="Arial"/>
        <family val="2"/>
      </rPr>
      <t>9</t>
    </r>
    <r>
      <rPr>
        <sz val="10"/>
        <rFont val="ＭＳ ゴシック"/>
        <family val="3"/>
        <charset val="128"/>
      </rPr>
      <t>月の第</t>
    </r>
    <r>
      <rPr>
        <sz val="10"/>
        <rFont val="Arial"/>
        <family val="2"/>
      </rPr>
      <t>2</t>
    </r>
    <r>
      <rPr>
        <sz val="10"/>
        <rFont val="ＭＳ ゴシック"/>
        <family val="3"/>
        <charset val="128"/>
      </rPr>
      <t>四半期より、</t>
    </r>
    <r>
      <rPr>
        <sz val="10"/>
        <rFont val="Arial"/>
        <family val="2"/>
      </rPr>
      <t>TV</t>
    </r>
    <r>
      <rPr>
        <sz val="10"/>
        <rFont val="ＭＳ ゴシック"/>
        <family val="3"/>
        <charset val="128"/>
      </rPr>
      <t>商談落札件数の集計方法を再度変更した。</t>
    </r>
    <r>
      <rPr>
        <sz val="10"/>
        <rFont val="Arial"/>
        <family val="2"/>
      </rPr>
      <t>2015</t>
    </r>
    <r>
      <rPr>
        <sz val="10"/>
        <rFont val="ＭＳ ゴシック"/>
        <family val="3"/>
        <charset val="128"/>
      </rPr>
      <t>年</t>
    </r>
    <r>
      <rPr>
        <sz val="10"/>
        <rFont val="Arial"/>
        <family val="2"/>
      </rPr>
      <t>6</t>
    </r>
    <r>
      <rPr>
        <sz val="10"/>
        <rFont val="ＭＳ ゴシック"/>
        <family val="3"/>
        <charset val="128"/>
      </rPr>
      <t>月の第</t>
    </r>
    <r>
      <rPr>
        <sz val="10"/>
        <rFont val="Arial"/>
        <family val="2"/>
      </rPr>
      <t>1</t>
    </r>
    <r>
      <rPr>
        <sz val="10"/>
        <rFont val="ＭＳ ゴシック"/>
        <family val="3"/>
        <charset val="128"/>
      </rPr>
      <t>四半期では、</t>
    </r>
    <r>
      <rPr>
        <sz val="10"/>
        <rFont val="Arial"/>
        <family val="2"/>
      </rPr>
      <t>S1</t>
    </r>
    <r>
      <rPr>
        <sz val="10"/>
        <rFont val="ＭＳ ゴシック"/>
        <family val="3"/>
        <charset val="128"/>
      </rPr>
      <t>、</t>
    </r>
    <r>
      <rPr>
        <sz val="10"/>
        <rFont val="Arial"/>
        <family val="2"/>
      </rPr>
      <t>S2</t>
    </r>
    <r>
      <rPr>
        <sz val="10"/>
        <rFont val="ＭＳ ゴシック"/>
        <family val="3"/>
        <charset val="128"/>
      </rPr>
      <t>の</t>
    </r>
    <r>
      <rPr>
        <sz val="10"/>
        <rFont val="Arial"/>
        <family val="2"/>
      </rPr>
      <t>2</t>
    </r>
    <r>
      <rPr>
        <sz val="10"/>
        <rFont val="ＭＳ ゴシック"/>
        <family val="3"/>
        <charset val="128"/>
      </rPr>
      <t>種類ある</t>
    </r>
    <r>
      <rPr>
        <sz val="10"/>
        <rFont val="Arial"/>
        <family val="2"/>
      </rPr>
      <t>TV</t>
    </r>
    <r>
      <rPr>
        <sz val="10"/>
        <rFont val="ＭＳ ゴシック"/>
        <family val="3"/>
        <charset val="128"/>
      </rPr>
      <t>による落札のうち、</t>
    </r>
    <rPh sb="4" eb="5">
      <t>ネン</t>
    </rPh>
    <rPh sb="6" eb="7">
      <t>ガツ</t>
    </rPh>
    <rPh sb="8" eb="9">
      <t>ダイ</t>
    </rPh>
    <rPh sb="10" eb="12">
      <t>シハン</t>
    </rPh>
    <rPh sb="12" eb="13">
      <t>キ</t>
    </rPh>
    <rPh sb="18" eb="20">
      <t>ショウダン</t>
    </rPh>
    <rPh sb="20" eb="22">
      <t>ラクサツ</t>
    </rPh>
    <rPh sb="22" eb="24">
      <t>ケンスウ</t>
    </rPh>
    <rPh sb="25" eb="27">
      <t>シュウケイ</t>
    </rPh>
    <rPh sb="27" eb="29">
      <t>ホウホウ</t>
    </rPh>
    <rPh sb="30" eb="32">
      <t>サイド</t>
    </rPh>
    <rPh sb="32" eb="34">
      <t>ヘンコウ</t>
    </rPh>
    <rPh sb="41" eb="42">
      <t>ネン</t>
    </rPh>
    <rPh sb="43" eb="44">
      <t>ガツ</t>
    </rPh>
    <rPh sb="45" eb="46">
      <t>ダイ</t>
    </rPh>
    <rPh sb="47" eb="48">
      <t>シ</t>
    </rPh>
    <rPh sb="48" eb="50">
      <t>ハンキ</t>
    </rPh>
    <rPh sb="60" eb="62">
      <t>シュルイ</t>
    </rPh>
    <rPh sb="69" eb="71">
      <t>ラクサツ</t>
    </rPh>
    <phoneticPr fontId="14"/>
  </si>
  <si>
    <r>
      <t>S2</t>
    </r>
    <r>
      <rPr>
        <sz val="10"/>
        <rFont val="ＭＳ ゴシック"/>
        <family val="3"/>
        <charset val="128"/>
      </rPr>
      <t>の商談落札件数のみ加算していたが、</t>
    </r>
    <r>
      <rPr>
        <sz val="10"/>
        <rFont val="Arial"/>
        <family val="2"/>
      </rPr>
      <t>S1</t>
    </r>
    <r>
      <rPr>
        <sz val="10"/>
        <rFont val="ＭＳ ゴシック"/>
        <family val="3"/>
        <charset val="128"/>
      </rPr>
      <t>においても商談落札が発生していたため、</t>
    </r>
    <r>
      <rPr>
        <sz val="10"/>
        <rFont val="Arial"/>
        <family val="2"/>
      </rPr>
      <t>2015</t>
    </r>
    <r>
      <rPr>
        <sz val="10"/>
        <rFont val="ＭＳ ゴシック"/>
        <family val="3"/>
        <charset val="128"/>
      </rPr>
      <t>年</t>
    </r>
    <r>
      <rPr>
        <sz val="10"/>
        <rFont val="Arial"/>
        <family val="2"/>
      </rPr>
      <t>9</t>
    </r>
    <r>
      <rPr>
        <sz val="10"/>
        <rFont val="ＭＳ ゴシック"/>
        <family val="3"/>
        <charset val="128"/>
      </rPr>
      <t>月の第</t>
    </r>
    <r>
      <rPr>
        <sz val="10"/>
        <rFont val="Arial"/>
        <family val="2"/>
      </rPr>
      <t>2</t>
    </r>
    <r>
      <rPr>
        <sz val="10"/>
        <rFont val="ＭＳ ゴシック"/>
        <family val="3"/>
        <charset val="128"/>
      </rPr>
      <t>四半期より、</t>
    </r>
    <r>
      <rPr>
        <sz val="10"/>
        <rFont val="Arial"/>
        <family val="2"/>
      </rPr>
      <t>S1</t>
    </r>
    <r>
      <rPr>
        <sz val="10"/>
        <rFont val="ＭＳ ゴシック"/>
        <family val="3"/>
        <charset val="128"/>
      </rPr>
      <t>の商談落札も加算している。</t>
    </r>
    <rPh sb="3" eb="5">
      <t>ショウダン</t>
    </rPh>
    <rPh sb="5" eb="7">
      <t>ラクサツ</t>
    </rPh>
    <rPh sb="7" eb="9">
      <t>ケンスウ</t>
    </rPh>
    <rPh sb="11" eb="13">
      <t>カサン</t>
    </rPh>
    <rPh sb="26" eb="28">
      <t>ショウダン</t>
    </rPh>
    <rPh sb="28" eb="30">
      <t>ラクサツ</t>
    </rPh>
    <rPh sb="31" eb="33">
      <t>ハッセイ</t>
    </rPh>
    <rPh sb="44" eb="45">
      <t>ネン</t>
    </rPh>
    <rPh sb="46" eb="47">
      <t>ガツ</t>
    </rPh>
    <rPh sb="48" eb="49">
      <t>ダイ</t>
    </rPh>
    <rPh sb="50" eb="52">
      <t>シハン</t>
    </rPh>
    <rPh sb="52" eb="53">
      <t>キ</t>
    </rPh>
    <rPh sb="59" eb="61">
      <t>ショウダン</t>
    </rPh>
    <rPh sb="61" eb="63">
      <t>ラクサツ</t>
    </rPh>
    <rPh sb="64" eb="66">
      <t>カサン</t>
    </rPh>
    <phoneticPr fontId="14"/>
  </si>
  <si>
    <r>
      <rPr>
        <sz val="10"/>
        <rFont val="ＭＳ ゴシック"/>
        <family val="3"/>
        <charset val="128"/>
      </rPr>
      <t>データの確認できた</t>
    </r>
    <r>
      <rPr>
        <sz val="10"/>
        <rFont val="Arial"/>
        <family val="2"/>
      </rPr>
      <t>2011.3</t>
    </r>
    <r>
      <rPr>
        <sz val="10"/>
        <rFont val="ＭＳ ゴシック"/>
        <family val="3"/>
        <charset val="128"/>
      </rPr>
      <t>期～</t>
    </r>
    <r>
      <rPr>
        <sz val="10"/>
        <rFont val="Arial"/>
        <family val="2"/>
      </rPr>
      <t>2015.3</t>
    </r>
    <r>
      <rPr>
        <sz val="10"/>
        <rFont val="ＭＳ ゴシック"/>
        <family val="3"/>
        <charset val="128"/>
      </rPr>
      <t>期まで、以下の台数を「</t>
    </r>
    <r>
      <rPr>
        <sz val="10"/>
        <rFont val="Arial"/>
        <family val="2"/>
      </rPr>
      <t>TV(</t>
    </r>
    <r>
      <rPr>
        <sz val="10"/>
        <rFont val="ＭＳ ゴシック"/>
        <family val="3"/>
        <charset val="128"/>
      </rPr>
      <t>衛星</t>
    </r>
    <r>
      <rPr>
        <sz val="10"/>
        <rFont val="Arial"/>
        <family val="2"/>
      </rPr>
      <t>)</t>
    </r>
    <r>
      <rPr>
        <sz val="10"/>
        <rFont val="ＭＳ ゴシック"/>
        <family val="3"/>
        <charset val="128"/>
      </rPr>
      <t>落札台数」に含める。</t>
    </r>
    <rPh sb="4" eb="6">
      <t>カクニン</t>
    </rPh>
    <rPh sb="15" eb="16">
      <t>キ</t>
    </rPh>
    <rPh sb="23" eb="24">
      <t>キ</t>
    </rPh>
    <rPh sb="27" eb="29">
      <t>イカ</t>
    </rPh>
    <rPh sb="30" eb="32">
      <t>ダイスウ</t>
    </rPh>
    <rPh sb="37" eb="39">
      <t>エイセイ</t>
    </rPh>
    <rPh sb="40" eb="42">
      <t>ラクサツ</t>
    </rPh>
    <rPh sb="42" eb="44">
      <t>ダイスウ</t>
    </rPh>
    <rPh sb="46" eb="47">
      <t>フク</t>
    </rPh>
    <phoneticPr fontId="14"/>
  </si>
  <si>
    <r>
      <rPr>
        <sz val="10"/>
        <rFont val="ＭＳ ゴシック"/>
        <family val="3"/>
        <charset val="128"/>
      </rPr>
      <t>　</t>
    </r>
    <r>
      <rPr>
        <sz val="10"/>
        <rFont val="Arial"/>
        <family val="2"/>
      </rPr>
      <t>2011.3</t>
    </r>
    <r>
      <rPr>
        <sz val="10"/>
        <rFont val="ＭＳ ゴシック"/>
        <family val="3"/>
        <charset val="128"/>
      </rPr>
      <t>期：</t>
    </r>
    <r>
      <rPr>
        <sz val="10"/>
        <rFont val="Arial"/>
        <family val="2"/>
      </rPr>
      <t>28</t>
    </r>
    <r>
      <rPr>
        <sz val="10"/>
        <rFont val="ＭＳ ゴシック"/>
        <family val="3"/>
        <charset val="128"/>
      </rPr>
      <t>台、</t>
    </r>
    <r>
      <rPr>
        <sz val="10"/>
        <rFont val="Arial"/>
        <family val="2"/>
      </rPr>
      <t>2012.3</t>
    </r>
    <r>
      <rPr>
        <sz val="10"/>
        <rFont val="ＭＳ ゴシック"/>
        <family val="3"/>
        <charset val="128"/>
      </rPr>
      <t>期：</t>
    </r>
    <r>
      <rPr>
        <sz val="10"/>
        <rFont val="Arial"/>
        <family val="2"/>
      </rPr>
      <t>22</t>
    </r>
    <r>
      <rPr>
        <sz val="10"/>
        <rFont val="ＭＳ ゴシック"/>
        <family val="3"/>
        <charset val="128"/>
      </rPr>
      <t>台、</t>
    </r>
    <r>
      <rPr>
        <sz val="10"/>
        <rFont val="Arial"/>
        <family val="2"/>
      </rPr>
      <t>2013.3</t>
    </r>
    <r>
      <rPr>
        <sz val="10"/>
        <rFont val="ＭＳ ゴシック"/>
        <family val="3"/>
        <charset val="128"/>
      </rPr>
      <t>期：</t>
    </r>
    <r>
      <rPr>
        <sz val="10"/>
        <rFont val="Arial"/>
        <family val="2"/>
      </rPr>
      <t>5</t>
    </r>
    <r>
      <rPr>
        <sz val="10"/>
        <rFont val="ＭＳ ゴシック"/>
        <family val="3"/>
        <charset val="128"/>
      </rPr>
      <t>台、</t>
    </r>
    <r>
      <rPr>
        <sz val="10"/>
        <rFont val="Arial"/>
        <family val="2"/>
      </rPr>
      <t>2014.3</t>
    </r>
    <r>
      <rPr>
        <sz val="10"/>
        <rFont val="ＭＳ ゴシック"/>
        <family val="3"/>
        <charset val="128"/>
      </rPr>
      <t>期：</t>
    </r>
    <r>
      <rPr>
        <sz val="10"/>
        <rFont val="Arial"/>
        <family val="2"/>
      </rPr>
      <t>3</t>
    </r>
    <r>
      <rPr>
        <sz val="10"/>
        <rFont val="ＭＳ ゴシック"/>
        <family val="3"/>
        <charset val="128"/>
      </rPr>
      <t>台、</t>
    </r>
    <r>
      <rPr>
        <sz val="10"/>
        <rFont val="Arial"/>
        <family val="2"/>
      </rPr>
      <t>2015.3</t>
    </r>
    <r>
      <rPr>
        <sz val="10"/>
        <rFont val="ＭＳ ゴシック"/>
        <family val="3"/>
        <charset val="128"/>
      </rPr>
      <t>期：</t>
    </r>
    <r>
      <rPr>
        <sz val="10"/>
        <rFont val="Arial"/>
        <family val="2"/>
      </rPr>
      <t>2</t>
    </r>
    <r>
      <rPr>
        <sz val="10"/>
        <rFont val="ＭＳ ゴシック"/>
        <family val="3"/>
        <charset val="128"/>
      </rPr>
      <t>台</t>
    </r>
    <rPh sb="7" eb="8">
      <t>キ</t>
    </rPh>
    <rPh sb="11" eb="12">
      <t>ダイ</t>
    </rPh>
    <rPh sb="19" eb="20">
      <t>キ</t>
    </rPh>
    <rPh sb="23" eb="24">
      <t>ダイ</t>
    </rPh>
    <rPh sb="31" eb="32">
      <t>キ</t>
    </rPh>
    <rPh sb="34" eb="35">
      <t>ダイ</t>
    </rPh>
    <rPh sb="42" eb="43">
      <t>キ</t>
    </rPh>
    <rPh sb="45" eb="46">
      <t>ダイ</t>
    </rPh>
    <rPh sb="53" eb="54">
      <t>キ</t>
    </rPh>
    <rPh sb="56" eb="57">
      <t>ダイ</t>
    </rPh>
    <phoneticPr fontId="14"/>
  </si>
  <si>
    <r>
      <t>2019</t>
    </r>
    <r>
      <rPr>
        <sz val="10"/>
        <rFont val="ＭＳ ゴシック"/>
        <family val="3"/>
        <charset val="128"/>
      </rPr>
      <t>年</t>
    </r>
    <r>
      <rPr>
        <sz val="10"/>
        <rFont val="Arial"/>
        <family val="2"/>
      </rPr>
      <t>3</t>
    </r>
    <r>
      <rPr>
        <sz val="10"/>
        <rFont val="ＭＳ ゴシック"/>
        <family val="3"/>
        <charset val="128"/>
      </rPr>
      <t>月期修正グラフのタイトルの文字の大きさを修正</t>
    </r>
    <rPh sb="4" eb="5">
      <t>ネン</t>
    </rPh>
    <rPh sb="6" eb="8">
      <t>ガツキ</t>
    </rPh>
    <rPh sb="8" eb="10">
      <t>シュウセイ</t>
    </rPh>
    <rPh sb="19" eb="21">
      <t>モジ</t>
    </rPh>
    <rPh sb="22" eb="23">
      <t>オオ</t>
    </rPh>
    <rPh sb="26" eb="28">
      <t>シュウセイ</t>
    </rPh>
    <phoneticPr fontId="14"/>
  </si>
  <si>
    <r>
      <rPr>
        <sz val="10"/>
        <rFont val="ＭＳ ゴシック"/>
        <family val="3"/>
        <charset val="128"/>
      </rPr>
      <t>参照資料：</t>
    </r>
    <rPh sb="0" eb="2">
      <t>サンショウ</t>
    </rPh>
    <rPh sb="2" eb="4">
      <t>シリョウ</t>
    </rPh>
    <phoneticPr fontId="14"/>
  </si>
  <si>
    <r>
      <t>F7100US_2203</t>
    </r>
    <r>
      <rPr>
        <sz val="10"/>
        <rFont val="ＭＳ ゴシック"/>
        <family val="3"/>
        <charset val="128"/>
      </rPr>
      <t>外部落札通期実績</t>
    </r>
    <r>
      <rPr>
        <sz val="10"/>
        <rFont val="Arial"/>
        <family val="2"/>
      </rPr>
      <t>.xlsm</t>
    </r>
    <phoneticPr fontId="14"/>
  </si>
  <si>
    <r>
      <t>D9200AL_2203</t>
    </r>
    <r>
      <rPr>
        <sz val="10"/>
        <rFont val="ＭＳ ゴシック"/>
        <family val="3"/>
        <charset val="128"/>
      </rPr>
      <t>会員数</t>
    </r>
    <r>
      <rPr>
        <sz val="10"/>
        <rFont val="Arial"/>
        <family val="2"/>
      </rPr>
      <t>.xlsm</t>
    </r>
    <phoneticPr fontId="14"/>
  </si>
  <si>
    <t xml:space="preserve">*Successful Off-site Bids include bids by CIS (Internet) and TV (Satellite Auction) members. </t>
    <phoneticPr fontId="14"/>
  </si>
  <si>
    <t>*The basis of aggregating successful bids received via satellite TV for calculating the off-site successful bid ratio is changed in the fiscal year ended March 2016.</t>
    <phoneticPr fontId="14"/>
  </si>
  <si>
    <t>※2016.3期において、TV（衛星）落札台数の集計方法を変更しております。</t>
    <phoneticPr fontId="14"/>
  </si>
  <si>
    <t>※オークションシステムの変更にともない、HAA神戸は2018年8月より、JAAは2019年1月より集計に含めております。</t>
    <phoneticPr fontId="14"/>
  </si>
  <si>
    <r>
      <rPr>
        <sz val="10"/>
        <rFont val="ＭＳ Ｐゴシック"/>
        <family val="3"/>
        <charset val="128"/>
      </rPr>
      <t>現車会員　</t>
    </r>
    <r>
      <rPr>
        <sz val="10"/>
        <rFont val="Arial"/>
        <family val="2"/>
      </rPr>
      <t>On-site Auction Members</t>
    </r>
    <rPh sb="0" eb="1">
      <t>ゲン</t>
    </rPh>
    <rPh sb="1" eb="2">
      <t>クルマ</t>
    </rPh>
    <rPh sb="2" eb="4">
      <t>カイイン</t>
    </rPh>
    <phoneticPr fontId="17"/>
  </si>
  <si>
    <r>
      <rPr>
        <sz val="10"/>
        <rFont val="ＭＳ Ｐゴシック"/>
        <family val="3"/>
        <charset val="128"/>
      </rPr>
      <t>外部落札台数　</t>
    </r>
    <r>
      <rPr>
        <sz val="10"/>
        <rFont val="Arial"/>
        <family val="2"/>
      </rPr>
      <t>No. of Successful Bidding from Outside</t>
    </r>
    <rPh sb="0" eb="2">
      <t>ガイブ</t>
    </rPh>
    <rPh sb="2" eb="4">
      <t>ラクサツ</t>
    </rPh>
    <rPh sb="4" eb="6">
      <t>ダイスウ</t>
    </rPh>
    <phoneticPr fontId="14"/>
  </si>
  <si>
    <r>
      <rPr>
        <sz val="10"/>
        <rFont val="ＭＳ Ｐゴシック"/>
        <family val="3"/>
        <charset val="128"/>
      </rPr>
      <t>外部落札比率　</t>
    </r>
    <r>
      <rPr>
        <sz val="10"/>
        <rFont val="Arial"/>
        <family val="2"/>
      </rPr>
      <t>Ratio of Successful Off-site Bids</t>
    </r>
    <phoneticPr fontId="14"/>
  </si>
  <si>
    <r>
      <rPr>
        <sz val="10"/>
        <rFont val="ＭＳ ゴシック"/>
        <family val="3"/>
        <charset val="128"/>
      </rPr>
      <t>＜データ入力欄＞</t>
    </r>
  </si>
  <si>
    <r>
      <rPr>
        <sz val="9"/>
        <rFont val="ＭＳ Ｐゴシック"/>
        <family val="3"/>
        <charset val="128"/>
      </rPr>
      <t>増減率</t>
    </r>
  </si>
  <si>
    <r>
      <rPr>
        <sz val="9"/>
        <rFont val="ＭＳ Ｐゴシック"/>
        <family val="3"/>
        <charset val="128"/>
      </rPr>
      <t>過去</t>
    </r>
    <r>
      <rPr>
        <sz val="9"/>
        <rFont val="Arial"/>
        <family val="2"/>
      </rPr>
      <t>10</t>
    </r>
    <r>
      <rPr>
        <sz val="9"/>
        <rFont val="ＭＳ Ｐゴシック"/>
        <family val="3"/>
        <charset val="128"/>
      </rPr>
      <t>年
平均増減率</t>
    </r>
    <phoneticPr fontId="17"/>
  </si>
  <si>
    <r>
      <rPr>
        <sz val="10"/>
        <rFont val="ＭＳ ゴシック"/>
        <family val="3"/>
        <charset val="128"/>
      </rPr>
      <t xml:space="preserve">出品台数
</t>
    </r>
    <r>
      <rPr>
        <sz val="10"/>
        <rFont val="Arial"/>
        <family val="2"/>
      </rPr>
      <t>Consigned Vehicles</t>
    </r>
    <phoneticPr fontId="17"/>
  </si>
  <si>
    <r>
      <rPr>
        <sz val="10"/>
        <rFont val="ＭＳ ゴシック"/>
        <family val="3"/>
        <charset val="128"/>
      </rPr>
      <t xml:space="preserve">神戸
</t>
    </r>
    <r>
      <rPr>
        <sz val="10"/>
        <rFont val="Arial"/>
        <family val="2"/>
      </rPr>
      <t>Kobe</t>
    </r>
    <rPh sb="0" eb="2">
      <t>コウベ</t>
    </rPh>
    <phoneticPr fontId="17"/>
  </si>
  <si>
    <r>
      <rPr>
        <sz val="10"/>
        <rFont val="ＭＳ ゴシック"/>
        <family val="3"/>
        <charset val="128"/>
      </rPr>
      <t>横浜　</t>
    </r>
    <r>
      <rPr>
        <sz val="10"/>
        <rFont val="Arial"/>
        <family val="2"/>
      </rPr>
      <t>Yokohama</t>
    </r>
    <rPh sb="0" eb="2">
      <t>ヨコハマ</t>
    </rPh>
    <phoneticPr fontId="17"/>
  </si>
  <si>
    <r>
      <rPr>
        <sz val="10"/>
        <rFont val="ＭＳ ゴシック"/>
        <family val="3"/>
        <charset val="128"/>
      </rPr>
      <t xml:space="preserve">合計
</t>
    </r>
    <r>
      <rPr>
        <sz val="10"/>
        <rFont val="Arial"/>
        <family val="2"/>
      </rPr>
      <t>Total</t>
    </r>
    <rPh sb="0" eb="2">
      <t>ゴウケイ</t>
    </rPh>
    <phoneticPr fontId="17"/>
  </si>
  <si>
    <r>
      <rPr>
        <sz val="10"/>
        <rFont val="ＭＳ ゴシック"/>
        <family val="3"/>
        <charset val="128"/>
      </rPr>
      <t xml:space="preserve">成約台数
</t>
    </r>
    <r>
      <rPr>
        <sz val="8"/>
        <rFont val="Arial"/>
        <family val="2"/>
      </rPr>
      <t>Contracted Vehicles</t>
    </r>
    <rPh sb="0" eb="2">
      <t>セイヤク</t>
    </rPh>
    <rPh sb="2" eb="4">
      <t>ダイスウ</t>
    </rPh>
    <phoneticPr fontId="17"/>
  </si>
  <si>
    <r>
      <rPr>
        <sz val="10"/>
        <rFont val="ＭＳ ゴシック"/>
        <family val="3"/>
        <charset val="128"/>
      </rPr>
      <t xml:space="preserve">成約率
</t>
    </r>
    <r>
      <rPr>
        <sz val="8"/>
        <rFont val="Arial"/>
        <family val="2"/>
      </rPr>
      <t>Contract
Completion Rate</t>
    </r>
    <rPh sb="0" eb="2">
      <t>セイヤク</t>
    </rPh>
    <rPh sb="2" eb="3">
      <t>リツ</t>
    </rPh>
    <phoneticPr fontId="17"/>
  </si>
  <si>
    <r>
      <rPr>
        <sz val="10"/>
        <rFont val="ＭＳ ゴシック"/>
        <family val="3"/>
        <charset val="128"/>
      </rPr>
      <t>＜グラフ作成用＞</t>
    </r>
    <rPh sb="4" eb="7">
      <t>サクセイヨウ</t>
    </rPh>
    <phoneticPr fontId="17"/>
  </si>
  <si>
    <r>
      <rPr>
        <sz val="10"/>
        <rFont val="ＭＳ ゴシック"/>
        <family val="3"/>
        <charset val="128"/>
      </rPr>
      <t xml:space="preserve">神戸
</t>
    </r>
    <r>
      <rPr>
        <sz val="10"/>
        <rFont val="Arial"/>
        <family val="2"/>
      </rPr>
      <t>Kobe</t>
    </r>
    <phoneticPr fontId="17"/>
  </si>
  <si>
    <r>
      <rPr>
        <sz val="10"/>
        <rFont val="ＭＳ ゴシック"/>
        <family val="3"/>
        <charset val="128"/>
      </rPr>
      <t xml:space="preserve">横浜
</t>
    </r>
    <r>
      <rPr>
        <sz val="10"/>
        <rFont val="Arial"/>
        <family val="2"/>
      </rPr>
      <t>Yokohama</t>
    </r>
    <phoneticPr fontId="17"/>
  </si>
  <si>
    <r>
      <rPr>
        <sz val="10"/>
        <rFont val="ＭＳ ゴシック"/>
        <family val="3"/>
        <charset val="128"/>
      </rPr>
      <t xml:space="preserve">成約率
</t>
    </r>
    <r>
      <rPr>
        <sz val="10"/>
        <rFont val="Arial"/>
        <family val="2"/>
      </rPr>
      <t>Contract 
Completion Rate</t>
    </r>
    <phoneticPr fontId="17"/>
  </si>
  <si>
    <r>
      <rPr>
        <sz val="10"/>
        <rFont val="ＭＳ ゴシック"/>
        <family val="3"/>
        <charset val="128"/>
      </rPr>
      <t>※</t>
    </r>
    <r>
      <rPr>
        <sz val="10"/>
        <rFont val="Arial"/>
        <family val="2"/>
      </rPr>
      <t>2016</t>
    </r>
    <r>
      <rPr>
        <sz val="10"/>
        <rFont val="ＭＳ ゴシック"/>
        <family val="3"/>
        <charset val="128"/>
      </rPr>
      <t>年</t>
    </r>
    <r>
      <rPr>
        <sz val="10"/>
        <rFont val="Arial"/>
        <family val="2"/>
      </rPr>
      <t>3</t>
    </r>
    <r>
      <rPr>
        <sz val="10"/>
        <rFont val="ＭＳ ゴシック"/>
        <family val="3"/>
        <charset val="128"/>
      </rPr>
      <t>月期は</t>
    </r>
    <r>
      <rPr>
        <sz val="10"/>
        <rFont val="Arial"/>
        <family val="2"/>
      </rPr>
      <t>JBA</t>
    </r>
    <r>
      <rPr>
        <sz val="10"/>
        <rFont val="ＭＳ ゴシック"/>
        <family val="3"/>
        <charset val="128"/>
      </rPr>
      <t>の</t>
    </r>
    <r>
      <rPr>
        <sz val="10"/>
        <rFont val="Arial"/>
        <family val="2"/>
      </rPr>
      <t>HP</t>
    </r>
    <r>
      <rPr>
        <sz val="10"/>
        <rFont val="ＭＳ ゴシック"/>
        <family val="3"/>
        <charset val="128"/>
      </rPr>
      <t>に掲載された台数に、未掲載の台数を補足して作成</t>
    </r>
    <rPh sb="5" eb="6">
      <t>ネン</t>
    </rPh>
    <rPh sb="7" eb="9">
      <t>ガツキ</t>
    </rPh>
    <rPh sb="17" eb="19">
      <t>ケイサイ</t>
    </rPh>
    <rPh sb="22" eb="24">
      <t>ダイスウ</t>
    </rPh>
    <rPh sb="26" eb="29">
      <t>ミケイサイ</t>
    </rPh>
    <rPh sb="30" eb="32">
      <t>ダイスウ</t>
    </rPh>
    <rPh sb="33" eb="35">
      <t>ホソク</t>
    </rPh>
    <rPh sb="37" eb="39">
      <t>サクセイ</t>
    </rPh>
    <phoneticPr fontId="17"/>
  </si>
  <si>
    <r>
      <rPr>
        <sz val="10"/>
        <rFont val="ＭＳ ゴシック"/>
        <family val="3"/>
        <charset val="128"/>
      </rPr>
      <t>　</t>
    </r>
    <r>
      <rPr>
        <sz val="10"/>
        <rFont val="Arial"/>
        <family val="2"/>
      </rPr>
      <t>2017</t>
    </r>
    <r>
      <rPr>
        <sz val="10"/>
        <rFont val="ＭＳ ゴシック"/>
        <family val="3"/>
        <charset val="128"/>
      </rPr>
      <t>年</t>
    </r>
    <r>
      <rPr>
        <sz val="10"/>
        <rFont val="Arial"/>
        <family val="2"/>
      </rPr>
      <t>3</t>
    </r>
    <r>
      <rPr>
        <sz val="10"/>
        <rFont val="ＭＳ ゴシック"/>
        <family val="3"/>
        <charset val="128"/>
      </rPr>
      <t>月期以降は</t>
    </r>
    <r>
      <rPr>
        <sz val="10"/>
        <rFont val="Arial"/>
        <family val="2"/>
      </rPr>
      <t>JBA</t>
    </r>
    <r>
      <rPr>
        <sz val="10"/>
        <rFont val="ＭＳ ゴシック"/>
        <family val="3"/>
        <charset val="128"/>
      </rPr>
      <t>の</t>
    </r>
    <r>
      <rPr>
        <sz val="10"/>
        <rFont val="Arial"/>
        <family val="2"/>
      </rPr>
      <t>HP</t>
    </r>
    <r>
      <rPr>
        <sz val="10"/>
        <rFont val="ＭＳ ゴシック"/>
        <family val="3"/>
        <charset val="128"/>
      </rPr>
      <t>に掲載された台数を基に台数担当者が実績表を作成しているので、</t>
    </r>
    <r>
      <rPr>
        <sz val="10"/>
        <rFont val="Arial"/>
        <family val="2"/>
      </rPr>
      <t>2016</t>
    </r>
    <r>
      <rPr>
        <sz val="10"/>
        <rFont val="ＭＳ ゴシック"/>
        <family val="3"/>
        <charset val="128"/>
      </rPr>
      <t>年</t>
    </r>
    <r>
      <rPr>
        <sz val="10"/>
        <rFont val="Arial"/>
        <family val="2"/>
      </rPr>
      <t>3</t>
    </r>
    <r>
      <rPr>
        <sz val="10"/>
        <rFont val="ＭＳ ゴシック"/>
        <family val="3"/>
        <charset val="128"/>
      </rPr>
      <t>月期以降の実績を実績表の台数に合わせる</t>
    </r>
    <rPh sb="5" eb="6">
      <t>ネン</t>
    </rPh>
    <rPh sb="7" eb="9">
      <t>ガツキ</t>
    </rPh>
    <rPh sb="9" eb="11">
      <t>イコウ</t>
    </rPh>
    <rPh sb="19" eb="21">
      <t>ケイサイ</t>
    </rPh>
    <rPh sb="24" eb="26">
      <t>ダイスウ</t>
    </rPh>
    <rPh sb="27" eb="28">
      <t>モト</t>
    </rPh>
    <rPh sb="29" eb="31">
      <t>ダイスウ</t>
    </rPh>
    <rPh sb="31" eb="34">
      <t>タントウシャ</t>
    </rPh>
    <rPh sb="35" eb="37">
      <t>ジッセキ</t>
    </rPh>
    <rPh sb="37" eb="38">
      <t>ヒョウ</t>
    </rPh>
    <rPh sb="39" eb="41">
      <t>サクセイ</t>
    </rPh>
    <rPh sb="52" eb="53">
      <t>ネン</t>
    </rPh>
    <rPh sb="54" eb="56">
      <t>ガツキ</t>
    </rPh>
    <rPh sb="56" eb="58">
      <t>イコウ</t>
    </rPh>
    <rPh sb="59" eb="61">
      <t>ジッセキ</t>
    </rPh>
    <rPh sb="62" eb="64">
      <t>ジッセキ</t>
    </rPh>
    <rPh sb="64" eb="65">
      <t>ヒョウ</t>
    </rPh>
    <rPh sb="66" eb="68">
      <t>ダイスウ</t>
    </rPh>
    <rPh sb="69" eb="70">
      <t>ア</t>
    </rPh>
    <phoneticPr fontId="17"/>
  </si>
  <si>
    <r>
      <rPr>
        <sz val="10"/>
        <rFont val="ＭＳ ゴシック"/>
        <family val="3"/>
        <charset val="128"/>
      </rPr>
      <t>※過年度の成約台数は二輪車新聞社の公表台数とずれているが、</t>
    </r>
    <r>
      <rPr>
        <sz val="10"/>
        <rFont val="Arial"/>
        <family val="2"/>
      </rPr>
      <t>2017</t>
    </r>
    <r>
      <rPr>
        <sz val="10"/>
        <rFont val="ＭＳ ゴシック"/>
        <family val="3"/>
        <charset val="128"/>
      </rPr>
      <t>年</t>
    </r>
    <r>
      <rPr>
        <sz val="10"/>
        <rFont val="Arial"/>
        <family val="2"/>
      </rPr>
      <t>3</t>
    </r>
    <r>
      <rPr>
        <sz val="10"/>
        <rFont val="ＭＳ ゴシック"/>
        <family val="3"/>
        <charset val="128"/>
      </rPr>
      <t>月期中に是正されており、</t>
    </r>
    <r>
      <rPr>
        <sz val="10"/>
        <rFont val="Arial"/>
        <family val="2"/>
      </rPr>
      <t>USS</t>
    </r>
    <r>
      <rPr>
        <sz val="10"/>
        <rFont val="ＭＳ ゴシック"/>
        <family val="3"/>
        <charset val="128"/>
      </rPr>
      <t>としては</t>
    </r>
    <r>
      <rPr>
        <sz val="10"/>
        <rFont val="Arial"/>
        <family val="2"/>
      </rPr>
      <t>HP</t>
    </r>
    <r>
      <rPr>
        <sz val="10"/>
        <rFont val="ＭＳ ゴシック"/>
        <family val="3"/>
        <charset val="128"/>
      </rPr>
      <t>に掲載された台数を公式の台数とするため、修正は行わない。</t>
    </r>
    <rPh sb="1" eb="4">
      <t>カネンド</t>
    </rPh>
    <rPh sb="5" eb="7">
      <t>セイヤク</t>
    </rPh>
    <rPh sb="7" eb="9">
      <t>ダイスウ</t>
    </rPh>
    <rPh sb="10" eb="13">
      <t>ニリンシャ</t>
    </rPh>
    <rPh sb="13" eb="16">
      <t>シンブンシャ</t>
    </rPh>
    <rPh sb="17" eb="19">
      <t>コウヒョウ</t>
    </rPh>
    <rPh sb="19" eb="21">
      <t>ダイスウ</t>
    </rPh>
    <rPh sb="33" eb="34">
      <t>ネン</t>
    </rPh>
    <rPh sb="35" eb="37">
      <t>ガツキ</t>
    </rPh>
    <rPh sb="37" eb="38">
      <t>チュウ</t>
    </rPh>
    <rPh sb="39" eb="41">
      <t>ゼセイ</t>
    </rPh>
    <rPh sb="57" eb="59">
      <t>ケイサイ</t>
    </rPh>
    <rPh sb="62" eb="64">
      <t>ダイスウ</t>
    </rPh>
    <rPh sb="65" eb="67">
      <t>コウシキ</t>
    </rPh>
    <rPh sb="68" eb="70">
      <t>ダイスウ</t>
    </rPh>
    <rPh sb="76" eb="78">
      <t>シュウセイ</t>
    </rPh>
    <rPh sb="79" eb="80">
      <t>オコナ</t>
    </rPh>
    <phoneticPr fontId="17"/>
  </si>
  <si>
    <r>
      <rPr>
        <sz val="10"/>
        <rFont val="ＭＳ ゴシック"/>
        <family val="3"/>
        <charset val="128"/>
      </rPr>
      <t>■</t>
    </r>
    <r>
      <rPr>
        <sz val="10"/>
        <rFont val="Arial"/>
        <family val="2"/>
      </rPr>
      <t>2017</t>
    </r>
    <r>
      <rPr>
        <sz val="10"/>
        <rFont val="ＭＳ ゴシック"/>
        <family val="3"/>
        <charset val="128"/>
      </rPr>
      <t>年</t>
    </r>
    <r>
      <rPr>
        <sz val="10"/>
        <rFont val="Arial"/>
        <family val="2"/>
      </rPr>
      <t>3</t>
    </r>
    <r>
      <rPr>
        <sz val="10"/>
        <rFont val="ＭＳ ゴシック"/>
        <family val="3"/>
        <charset val="128"/>
      </rPr>
      <t>月期において</t>
    </r>
    <r>
      <rPr>
        <sz val="10"/>
        <rFont val="Arial"/>
        <family val="2"/>
      </rPr>
      <t>JBA</t>
    </r>
    <r>
      <rPr>
        <sz val="10"/>
        <rFont val="ＭＳ ゴシック"/>
        <family val="3"/>
        <charset val="128"/>
      </rPr>
      <t>の集計方法を確立したことにより、</t>
    </r>
    <r>
      <rPr>
        <sz val="10"/>
        <rFont val="Arial"/>
        <family val="2"/>
      </rPr>
      <t>2016</t>
    </r>
    <r>
      <rPr>
        <sz val="10"/>
        <rFont val="ＭＳ ゴシック"/>
        <family val="3"/>
        <charset val="128"/>
      </rPr>
      <t>年</t>
    </r>
    <r>
      <rPr>
        <sz val="10"/>
        <rFont val="Arial"/>
        <family val="2"/>
      </rPr>
      <t>3</t>
    </r>
    <r>
      <rPr>
        <sz val="10"/>
        <rFont val="ＭＳ ゴシック"/>
        <family val="3"/>
        <charset val="128"/>
      </rPr>
      <t>月期の成約台数が若干ズレたが、新しい集計方法による数字を使用する。</t>
    </r>
    <r>
      <rPr>
        <sz val="10"/>
        <rFont val="Arial"/>
        <family val="2"/>
      </rPr>
      <t>(2017</t>
    </r>
    <r>
      <rPr>
        <sz val="10"/>
        <rFont val="ＭＳ ゴシック"/>
        <family val="3"/>
        <charset val="128"/>
      </rPr>
      <t>年</t>
    </r>
    <r>
      <rPr>
        <sz val="10"/>
        <rFont val="Arial"/>
        <family val="2"/>
      </rPr>
      <t>5</t>
    </r>
    <r>
      <rPr>
        <sz val="10"/>
        <rFont val="ＭＳ ゴシック"/>
        <family val="3"/>
        <charset val="128"/>
      </rPr>
      <t>月</t>
    </r>
    <r>
      <rPr>
        <sz val="10"/>
        <rFont val="Arial"/>
        <family val="2"/>
      </rPr>
      <t>3</t>
    </r>
    <r>
      <rPr>
        <sz val="10"/>
        <rFont val="ＭＳ ゴシック"/>
        <family val="3"/>
        <charset val="128"/>
      </rPr>
      <t>日服部副部長確認済</t>
    </r>
    <r>
      <rPr>
        <sz val="10"/>
        <rFont val="Arial"/>
        <family val="2"/>
      </rPr>
      <t>)</t>
    </r>
    <rPh sb="5" eb="6">
      <t>ネン</t>
    </rPh>
    <rPh sb="7" eb="9">
      <t>ガツキ</t>
    </rPh>
    <rPh sb="17" eb="19">
      <t>シュウケイ</t>
    </rPh>
    <rPh sb="19" eb="21">
      <t>ホウホウ</t>
    </rPh>
    <rPh sb="22" eb="24">
      <t>カクリツ</t>
    </rPh>
    <rPh sb="36" eb="37">
      <t>ネン</t>
    </rPh>
    <rPh sb="38" eb="40">
      <t>ガツキ</t>
    </rPh>
    <rPh sb="41" eb="43">
      <t>セイヤク</t>
    </rPh>
    <rPh sb="43" eb="45">
      <t>ダイスウ</t>
    </rPh>
    <rPh sb="46" eb="48">
      <t>ジャッカン</t>
    </rPh>
    <rPh sb="53" eb="54">
      <t>アタラ</t>
    </rPh>
    <rPh sb="56" eb="58">
      <t>シュウケイ</t>
    </rPh>
    <rPh sb="58" eb="60">
      <t>ホウホウ</t>
    </rPh>
    <rPh sb="63" eb="65">
      <t>スウジ</t>
    </rPh>
    <rPh sb="66" eb="68">
      <t>シヨウ</t>
    </rPh>
    <rPh sb="76" eb="77">
      <t>ネン</t>
    </rPh>
    <rPh sb="78" eb="79">
      <t>ガツ</t>
    </rPh>
    <rPh sb="80" eb="81">
      <t>ニチ</t>
    </rPh>
    <rPh sb="81" eb="83">
      <t>ハットリ</t>
    </rPh>
    <rPh sb="83" eb="86">
      <t>フクブチョウ</t>
    </rPh>
    <rPh sb="86" eb="88">
      <t>カクニン</t>
    </rPh>
    <rPh sb="88" eb="89">
      <t>ズ</t>
    </rPh>
    <phoneticPr fontId="17"/>
  </si>
  <si>
    <r>
      <rPr>
        <sz val="10"/>
        <rFont val="ＭＳ ゴシック"/>
        <family val="3"/>
        <charset val="128"/>
      </rPr>
      <t>　　</t>
    </r>
    <r>
      <rPr>
        <sz val="10"/>
        <rFont val="Arial"/>
        <family val="2"/>
      </rPr>
      <t>2016</t>
    </r>
    <r>
      <rPr>
        <sz val="10"/>
        <rFont val="ＭＳ ゴシック"/>
        <family val="3"/>
        <charset val="128"/>
      </rPr>
      <t>年</t>
    </r>
    <r>
      <rPr>
        <sz val="10"/>
        <rFont val="Arial"/>
        <family val="2"/>
      </rPr>
      <t>3</t>
    </r>
    <r>
      <rPr>
        <sz val="10"/>
        <rFont val="ＭＳ ゴシック"/>
        <family val="3"/>
        <charset val="128"/>
      </rPr>
      <t>月期</t>
    </r>
    <r>
      <rPr>
        <sz val="10"/>
        <rFont val="Arial"/>
        <family val="2"/>
      </rPr>
      <t xml:space="preserve"> </t>
    </r>
    <r>
      <rPr>
        <sz val="10"/>
        <rFont val="ＭＳ ゴシック"/>
        <family val="3"/>
        <charset val="128"/>
      </rPr>
      <t>成約台数　神戸：</t>
    </r>
    <r>
      <rPr>
        <sz val="10"/>
        <rFont val="Arial"/>
        <family val="2"/>
      </rPr>
      <t>48,024</t>
    </r>
    <r>
      <rPr>
        <sz val="10"/>
        <rFont val="ＭＳ ゴシック"/>
        <family val="3"/>
        <charset val="128"/>
      </rPr>
      <t>台</t>
    </r>
    <r>
      <rPr>
        <sz val="10"/>
        <rFont val="Arial"/>
        <family val="2"/>
      </rPr>
      <t>(</t>
    </r>
    <r>
      <rPr>
        <sz val="10"/>
        <rFont val="ＭＳ ゴシック"/>
        <family val="3"/>
        <charset val="128"/>
      </rPr>
      <t>変更前</t>
    </r>
    <r>
      <rPr>
        <sz val="10"/>
        <rFont val="Arial"/>
        <family val="2"/>
      </rPr>
      <t>48,126</t>
    </r>
    <r>
      <rPr>
        <sz val="10"/>
        <rFont val="ＭＳ ゴシック"/>
        <family val="3"/>
        <charset val="128"/>
      </rPr>
      <t>台</t>
    </r>
    <r>
      <rPr>
        <sz val="10"/>
        <rFont val="Arial"/>
        <family val="2"/>
      </rPr>
      <t>)</t>
    </r>
    <r>
      <rPr>
        <sz val="10"/>
        <rFont val="ＭＳ ゴシック"/>
        <family val="3"/>
        <charset val="128"/>
      </rPr>
      <t>、横浜：</t>
    </r>
    <r>
      <rPr>
        <sz val="10"/>
        <rFont val="Arial"/>
        <family val="2"/>
      </rPr>
      <t>59,726</t>
    </r>
    <r>
      <rPr>
        <sz val="10"/>
        <rFont val="ＭＳ ゴシック"/>
        <family val="3"/>
        <charset val="128"/>
      </rPr>
      <t>台</t>
    </r>
    <r>
      <rPr>
        <sz val="10"/>
        <rFont val="Arial"/>
        <family val="2"/>
      </rPr>
      <t>(</t>
    </r>
    <r>
      <rPr>
        <sz val="10"/>
        <rFont val="ＭＳ ゴシック"/>
        <family val="3"/>
        <charset val="128"/>
      </rPr>
      <t>変更前</t>
    </r>
    <r>
      <rPr>
        <sz val="10"/>
        <rFont val="Arial"/>
        <family val="2"/>
      </rPr>
      <t>59,856</t>
    </r>
    <r>
      <rPr>
        <sz val="10"/>
        <rFont val="ＭＳ ゴシック"/>
        <family val="3"/>
        <charset val="128"/>
      </rPr>
      <t>台</t>
    </r>
    <r>
      <rPr>
        <sz val="10"/>
        <rFont val="Arial"/>
        <family val="2"/>
      </rPr>
      <t>)</t>
    </r>
    <rPh sb="6" eb="7">
      <t>ネン</t>
    </rPh>
    <rPh sb="8" eb="10">
      <t>ガツキ</t>
    </rPh>
    <rPh sb="11" eb="13">
      <t>セイヤク</t>
    </rPh>
    <rPh sb="13" eb="15">
      <t>ダイスウ</t>
    </rPh>
    <rPh sb="16" eb="18">
      <t>コウベ</t>
    </rPh>
    <rPh sb="25" eb="26">
      <t>ダイ</t>
    </rPh>
    <rPh sb="27" eb="29">
      <t>ヘンコウ</t>
    </rPh>
    <rPh sb="29" eb="30">
      <t>マエ</t>
    </rPh>
    <rPh sb="36" eb="37">
      <t>ダイ</t>
    </rPh>
    <rPh sb="39" eb="41">
      <t>ヨコハマ</t>
    </rPh>
    <rPh sb="48" eb="49">
      <t>ダイ</t>
    </rPh>
    <rPh sb="50" eb="52">
      <t>ヘンコウ</t>
    </rPh>
    <rPh sb="52" eb="53">
      <t>マエ</t>
    </rPh>
    <rPh sb="59" eb="60">
      <t>ダイ</t>
    </rPh>
    <phoneticPr fontId="17"/>
  </si>
  <si>
    <r>
      <rPr>
        <sz val="10"/>
        <rFont val="ＭＳ ゴシック"/>
        <family val="3"/>
        <charset val="128"/>
      </rPr>
      <t>●</t>
    </r>
    <r>
      <rPr>
        <sz val="10"/>
        <rFont val="Arial"/>
        <family val="2"/>
      </rPr>
      <t>JBA</t>
    </r>
    <r>
      <rPr>
        <sz val="10"/>
        <rFont val="ＭＳ ゴシック"/>
        <family val="3"/>
        <charset val="128"/>
      </rPr>
      <t>実績表</t>
    </r>
    <r>
      <rPr>
        <sz val="10"/>
        <rFont val="Arial"/>
        <family val="2"/>
      </rPr>
      <t>2104-2203.xlsx</t>
    </r>
    <phoneticPr fontId="17"/>
  </si>
  <si>
    <r>
      <t xml:space="preserve"> </t>
    </r>
    <r>
      <rPr>
        <sz val="9"/>
        <rFont val="メイリオ"/>
        <family val="3"/>
        <charset val="128"/>
      </rPr>
      <t>神戸　</t>
    </r>
    <r>
      <rPr>
        <sz val="9"/>
        <rFont val="Arial"/>
        <family val="2"/>
      </rPr>
      <t>Kobe</t>
    </r>
    <rPh sb="1" eb="3">
      <t>コウベ</t>
    </rPh>
    <phoneticPr fontId="17"/>
  </si>
  <si>
    <r>
      <t xml:space="preserve"> </t>
    </r>
    <r>
      <rPr>
        <sz val="9"/>
        <rFont val="メイリオ"/>
        <family val="3"/>
        <charset val="128"/>
      </rPr>
      <t>横浜　</t>
    </r>
    <r>
      <rPr>
        <sz val="9"/>
        <rFont val="Arial"/>
        <family val="2"/>
      </rPr>
      <t>Yokohama</t>
    </r>
    <rPh sb="1" eb="3">
      <t>ヨコハマ</t>
    </rPh>
    <phoneticPr fontId="17"/>
  </si>
  <si>
    <r>
      <t xml:space="preserve"> </t>
    </r>
    <r>
      <rPr>
        <sz val="9"/>
        <rFont val="メイリオ"/>
        <family val="3"/>
        <charset val="128"/>
      </rPr>
      <t>合計　</t>
    </r>
    <r>
      <rPr>
        <sz val="9"/>
        <rFont val="Arial"/>
        <family val="2"/>
      </rPr>
      <t>Total</t>
    </r>
    <rPh sb="1" eb="3">
      <t>ゴウケイ</t>
    </rPh>
    <phoneticPr fontId="17"/>
  </si>
  <si>
    <r>
      <t xml:space="preserve"> </t>
    </r>
    <r>
      <rPr>
        <sz val="9"/>
        <rFont val="メイリオ"/>
        <family val="3"/>
        <charset val="128"/>
      </rPr>
      <t xml:space="preserve">成約率
</t>
    </r>
    <r>
      <rPr>
        <sz val="9"/>
        <rFont val="Arial"/>
        <family val="2"/>
      </rPr>
      <t xml:space="preserve"> Contract
 Completion Rate</t>
    </r>
    <rPh sb="1" eb="3">
      <t>セイヤク</t>
    </rPh>
    <rPh sb="3" eb="4">
      <t>リツ</t>
    </rPh>
    <phoneticPr fontId="17"/>
  </si>
  <si>
    <r>
      <t xml:space="preserve"> </t>
    </r>
    <r>
      <rPr>
        <sz val="8"/>
        <rFont val="メイリオ"/>
        <family val="3"/>
        <charset val="128"/>
      </rPr>
      <t xml:space="preserve">中古自動車買取販売
</t>
    </r>
    <r>
      <rPr>
        <sz val="8"/>
        <rFont val="Arial"/>
        <family val="2"/>
      </rPr>
      <t xml:space="preserve"> Used Vehicle Sales/Purchases</t>
    </r>
    <rPh sb="3" eb="5">
      <t>ジドウ</t>
    </rPh>
    <rPh sb="5" eb="6">
      <t>グルマ</t>
    </rPh>
    <phoneticPr fontId="17"/>
  </si>
  <si>
    <r>
      <t xml:space="preserve"> </t>
    </r>
    <r>
      <rPr>
        <sz val="8"/>
        <rFont val="メイリオ"/>
        <family val="3"/>
        <charset val="128"/>
      </rPr>
      <t xml:space="preserve">事故現状車買取販売
</t>
    </r>
    <r>
      <rPr>
        <sz val="8"/>
        <rFont val="Arial"/>
        <family val="2"/>
      </rPr>
      <t xml:space="preserve"> Accident-damaged Vehicle Sales/
 Purchases</t>
    </r>
    <phoneticPr fontId="17"/>
  </si>
  <si>
    <r>
      <t xml:space="preserve"> </t>
    </r>
    <r>
      <rPr>
        <sz val="8"/>
        <rFont val="メイリオ"/>
        <family val="3"/>
        <charset val="128"/>
      </rPr>
      <t>売上高　</t>
    </r>
    <r>
      <rPr>
        <sz val="8"/>
        <rFont val="Arial"/>
        <family val="2"/>
      </rPr>
      <t>Net Sales</t>
    </r>
    <rPh sb="1" eb="3">
      <t>ウリアゲ</t>
    </rPh>
    <rPh sb="3" eb="4">
      <t>タカ</t>
    </rPh>
    <phoneticPr fontId="17"/>
  </si>
  <si>
    <r>
      <t xml:space="preserve"> </t>
    </r>
    <r>
      <rPr>
        <sz val="8"/>
        <rFont val="メイリオ"/>
        <family val="3"/>
        <charset val="128"/>
      </rPr>
      <t>営業利益　</t>
    </r>
    <r>
      <rPr>
        <sz val="8"/>
        <rFont val="Arial"/>
        <family val="2"/>
      </rPr>
      <t>Operating Profit</t>
    </r>
    <rPh sb="1" eb="3">
      <t>エイギョウ</t>
    </rPh>
    <rPh sb="3" eb="5">
      <t>リエキ</t>
    </rPh>
    <phoneticPr fontId="17"/>
  </si>
  <si>
    <r>
      <t xml:space="preserve"> </t>
    </r>
    <r>
      <rPr>
        <sz val="8"/>
        <rFont val="メイリオ"/>
        <family val="3"/>
        <charset val="128"/>
      </rPr>
      <t>営業利益率　</t>
    </r>
    <r>
      <rPr>
        <sz val="8"/>
        <rFont val="Arial"/>
        <family val="2"/>
      </rPr>
      <t>Operating Margin</t>
    </r>
    <rPh sb="1" eb="3">
      <t>エイギョウ</t>
    </rPh>
    <rPh sb="3" eb="5">
      <t>リエキ</t>
    </rPh>
    <rPh sb="5" eb="6">
      <t>リツ</t>
    </rPh>
    <phoneticPr fontId="17"/>
  </si>
  <si>
    <r>
      <t xml:space="preserve"> </t>
    </r>
    <r>
      <rPr>
        <sz val="8"/>
        <rFont val="メイリオ"/>
        <family val="3"/>
        <charset val="128"/>
      </rPr>
      <t>ラビット　直営店舗　</t>
    </r>
    <r>
      <rPr>
        <sz val="8"/>
        <rFont val="Arial"/>
        <family val="2"/>
      </rPr>
      <t>Directly Operated Outlets among Rabbit Chain Shops</t>
    </r>
    <rPh sb="6" eb="8">
      <t>チョクエイ</t>
    </rPh>
    <rPh sb="8" eb="10">
      <t>テンポ</t>
    </rPh>
    <phoneticPr fontId="14"/>
  </si>
  <si>
    <r>
      <t xml:space="preserve"> </t>
    </r>
    <r>
      <rPr>
        <sz val="8"/>
        <rFont val="メイリオ"/>
        <family val="3"/>
        <charset val="128"/>
      </rPr>
      <t>ラビット　</t>
    </r>
    <r>
      <rPr>
        <sz val="8"/>
        <rFont val="Arial"/>
        <family val="2"/>
      </rPr>
      <t>FC</t>
    </r>
    <r>
      <rPr>
        <sz val="8"/>
        <rFont val="メイリオ"/>
        <family val="3"/>
        <charset val="128"/>
      </rPr>
      <t>店舗　</t>
    </r>
    <r>
      <rPr>
        <sz val="8"/>
        <rFont val="Arial"/>
        <family val="2"/>
      </rPr>
      <t>Franchise Outlets among Rabbit Chain Shops</t>
    </r>
    <rPh sb="8" eb="10">
      <t>テンポ</t>
    </rPh>
    <phoneticPr fontId="14"/>
  </si>
  <si>
    <r>
      <t xml:space="preserve"> </t>
    </r>
    <r>
      <rPr>
        <sz val="8"/>
        <rFont val="メイリオ"/>
        <family val="3"/>
        <charset val="128"/>
      </rPr>
      <t>ラビット　店舗計　</t>
    </r>
    <r>
      <rPr>
        <sz val="8"/>
        <rFont val="Arial"/>
        <family val="2"/>
      </rPr>
      <t>Rabbit Chain Shops</t>
    </r>
    <rPh sb="6" eb="8">
      <t>テンポ</t>
    </rPh>
    <rPh sb="8" eb="9">
      <t>ケイ</t>
    </rPh>
    <phoneticPr fontId="14"/>
  </si>
  <si>
    <r>
      <t xml:space="preserve"> </t>
    </r>
    <r>
      <rPr>
        <sz val="7"/>
        <rFont val="メイリオ"/>
        <family val="3"/>
        <charset val="128"/>
      </rPr>
      <t>売上高　</t>
    </r>
    <r>
      <rPr>
        <sz val="7"/>
        <rFont val="Arial"/>
        <family val="2"/>
      </rPr>
      <t>Net Sales</t>
    </r>
    <rPh sb="1" eb="3">
      <t>ウリアゲ</t>
    </rPh>
    <rPh sb="3" eb="4">
      <t>タカ</t>
    </rPh>
    <phoneticPr fontId="17"/>
  </si>
  <si>
    <r>
      <rPr>
        <sz val="10"/>
        <rFont val="メイリオ"/>
        <family val="3"/>
        <charset val="128"/>
      </rPr>
      <t>＜データ入力用＞</t>
    </r>
    <rPh sb="4" eb="6">
      <t>ニュウリョク</t>
    </rPh>
    <rPh sb="6" eb="7">
      <t>ヨウ</t>
    </rPh>
    <phoneticPr fontId="17"/>
  </si>
  <si>
    <r>
      <rPr>
        <sz val="10"/>
        <rFont val="メイリオ"/>
        <family val="3"/>
        <charset val="128"/>
      </rPr>
      <t xml:space="preserve">廃ゴムのリサイクル
</t>
    </r>
    <r>
      <rPr>
        <sz val="10"/>
        <rFont val="Arial"/>
        <family val="2"/>
      </rPr>
      <t>Recycling Scrap Rubbers</t>
    </r>
    <rPh sb="0" eb="1">
      <t>ハイ</t>
    </rPh>
    <phoneticPr fontId="17"/>
  </si>
  <si>
    <r>
      <rPr>
        <sz val="10"/>
        <rFont val="メイリオ"/>
        <family val="3"/>
        <charset val="128"/>
      </rPr>
      <t xml:space="preserve">中古自動車の輸出手続代行サービス
</t>
    </r>
    <r>
      <rPr>
        <sz val="10"/>
        <rFont val="Arial"/>
        <family val="2"/>
      </rPr>
      <t>Used Vehicle Export Clearing Service</t>
    </r>
    <rPh sb="10" eb="12">
      <t>ダイコウ</t>
    </rPh>
    <phoneticPr fontId="17"/>
  </si>
  <si>
    <r>
      <rPr>
        <sz val="10"/>
        <rFont val="メイリオ"/>
        <family val="3"/>
        <charset val="128"/>
      </rPr>
      <t>＜グラフ作成用＞</t>
    </r>
    <rPh sb="4" eb="6">
      <t>サクセイ</t>
    </rPh>
    <rPh sb="6" eb="7">
      <t>ヨウ</t>
    </rPh>
    <phoneticPr fontId="17"/>
  </si>
  <si>
    <r>
      <rPr>
        <b/>
        <sz val="10"/>
        <rFont val="メイリオ"/>
        <family val="3"/>
        <charset val="128"/>
      </rPr>
      <t>グラフ用</t>
    </r>
    <rPh sb="3" eb="4">
      <t>ヨウ</t>
    </rPh>
    <phoneticPr fontId="17"/>
  </si>
  <si>
    <r>
      <rPr>
        <sz val="10"/>
        <rFont val="メイリオ"/>
        <family val="3"/>
        <charset val="128"/>
      </rPr>
      <t>月</t>
    </r>
    <rPh sb="0" eb="1">
      <t>ツキ</t>
    </rPh>
    <phoneticPr fontId="17"/>
  </si>
  <si>
    <r>
      <rPr>
        <sz val="10"/>
        <rFont val="メイリオ"/>
        <family val="3"/>
        <charset val="128"/>
      </rPr>
      <t>年</t>
    </r>
    <rPh sb="0" eb="1">
      <t>ネン</t>
    </rPh>
    <phoneticPr fontId="17"/>
  </si>
  <si>
    <r>
      <rPr>
        <sz val="10"/>
        <rFont val="メイリオ"/>
        <family val="3"/>
        <charset val="128"/>
      </rPr>
      <t>月平均金額</t>
    </r>
    <rPh sb="0" eb="1">
      <t>ツキ</t>
    </rPh>
    <rPh sb="1" eb="3">
      <t>ヘイキン</t>
    </rPh>
    <rPh sb="3" eb="5">
      <t>キンガク</t>
    </rPh>
    <phoneticPr fontId="17"/>
  </si>
  <si>
    <r>
      <rPr>
        <sz val="10"/>
        <rFont val="メイリオ"/>
        <family val="3"/>
        <charset val="128"/>
      </rPr>
      <t>年度</t>
    </r>
    <rPh sb="0" eb="2">
      <t>ネンド</t>
    </rPh>
    <phoneticPr fontId="17"/>
  </si>
  <si>
    <r>
      <rPr>
        <sz val="10"/>
        <rFont val="メイリオ"/>
        <family val="3"/>
        <charset val="128"/>
      </rPr>
      <t>最低値</t>
    </r>
    <rPh sb="0" eb="2">
      <t>サイテイ</t>
    </rPh>
    <rPh sb="2" eb="3">
      <t>アタイ</t>
    </rPh>
    <phoneticPr fontId="17"/>
  </si>
  <si>
    <r>
      <rPr>
        <sz val="10"/>
        <rFont val="メイリオ"/>
        <family val="3"/>
        <charset val="128"/>
      </rPr>
      <t>最高値</t>
    </r>
    <rPh sb="0" eb="2">
      <t>サイコウ</t>
    </rPh>
    <rPh sb="2" eb="3">
      <t>アタイ</t>
    </rPh>
    <phoneticPr fontId="17"/>
  </si>
  <si>
    <r>
      <rPr>
        <sz val="10"/>
        <rFont val="メイリオ"/>
        <family val="3"/>
        <charset val="128"/>
      </rPr>
      <t>平均値</t>
    </r>
    <rPh sb="0" eb="2">
      <t>ヘイキン</t>
    </rPh>
    <rPh sb="2" eb="3">
      <t>アタイ</t>
    </rPh>
    <phoneticPr fontId="17"/>
  </si>
  <si>
    <r>
      <rPr>
        <sz val="10"/>
        <rFont val="メイリオ"/>
        <family val="3"/>
        <charset val="128"/>
      </rPr>
      <t>＜注意事項＞</t>
    </r>
    <rPh sb="1" eb="3">
      <t>チュウイ</t>
    </rPh>
    <rPh sb="3" eb="5">
      <t>ジコウ</t>
    </rPh>
    <phoneticPr fontId="17"/>
  </si>
  <si>
    <r>
      <rPr>
        <sz val="10"/>
        <rFont val="メイリオ"/>
        <family val="3"/>
        <charset val="128"/>
      </rPr>
      <t>　■</t>
    </r>
    <r>
      <rPr>
        <sz val="10"/>
        <rFont val="Arial"/>
        <family val="2"/>
      </rPr>
      <t>2009</t>
    </r>
    <r>
      <rPr>
        <sz val="10"/>
        <rFont val="メイリオ"/>
        <family val="3"/>
        <charset val="128"/>
      </rPr>
      <t>年</t>
    </r>
    <r>
      <rPr>
        <sz val="10"/>
        <rFont val="Arial"/>
        <family val="2"/>
      </rPr>
      <t>1</t>
    </r>
    <r>
      <rPr>
        <sz val="10"/>
        <rFont val="メイリオ"/>
        <family val="3"/>
        <charset val="128"/>
      </rPr>
      <t>月以降は、日刊市況通信の「</t>
    </r>
    <r>
      <rPr>
        <sz val="10"/>
        <rFont val="Arial"/>
        <family val="2"/>
      </rPr>
      <t xml:space="preserve">H2 </t>
    </r>
    <r>
      <rPr>
        <sz val="10"/>
        <rFont val="メイリオ"/>
        <family val="3"/>
        <charset val="128"/>
      </rPr>
      <t>炉前総合価格」の</t>
    </r>
    <r>
      <rPr>
        <sz val="10"/>
        <rFont val="Arial"/>
        <family val="2"/>
      </rPr>
      <t>"</t>
    </r>
    <r>
      <rPr>
        <sz val="10"/>
        <rFont val="メイリオ"/>
        <family val="3"/>
        <charset val="128"/>
      </rPr>
      <t>月間平均</t>
    </r>
    <r>
      <rPr>
        <sz val="10"/>
        <rFont val="Arial"/>
        <family val="2"/>
      </rPr>
      <t>"</t>
    </r>
    <r>
      <rPr>
        <sz val="10"/>
        <rFont val="メイリオ"/>
        <family val="3"/>
        <charset val="128"/>
      </rPr>
      <t>数値を用いる。</t>
    </r>
    <rPh sb="6" eb="7">
      <t>ネン</t>
    </rPh>
    <rPh sb="8" eb="9">
      <t>ガツ</t>
    </rPh>
    <rPh sb="9" eb="11">
      <t>イコウ</t>
    </rPh>
    <rPh sb="13" eb="15">
      <t>ニッカン</t>
    </rPh>
    <rPh sb="15" eb="17">
      <t>シキョウ</t>
    </rPh>
    <rPh sb="17" eb="19">
      <t>ツウシン</t>
    </rPh>
    <rPh sb="24" eb="25">
      <t>ロ</t>
    </rPh>
    <rPh sb="25" eb="26">
      <t>マエ</t>
    </rPh>
    <rPh sb="26" eb="28">
      <t>ソウゴウ</t>
    </rPh>
    <rPh sb="28" eb="30">
      <t>カカク</t>
    </rPh>
    <rPh sb="33" eb="35">
      <t>ゲッカン</t>
    </rPh>
    <rPh sb="35" eb="37">
      <t>ヘイキン</t>
    </rPh>
    <rPh sb="38" eb="40">
      <t>スウチ</t>
    </rPh>
    <rPh sb="41" eb="42">
      <t>モチ</t>
    </rPh>
    <phoneticPr fontId="17"/>
  </si>
  <si>
    <r>
      <rPr>
        <sz val="10"/>
        <rFont val="メイリオ"/>
        <family val="3"/>
        <charset val="128"/>
      </rPr>
      <t>　■鉄スクラップの単位は「円</t>
    </r>
    <r>
      <rPr>
        <sz val="10"/>
        <rFont val="Arial"/>
        <family val="2"/>
      </rPr>
      <t>/Mt</t>
    </r>
    <r>
      <rPr>
        <sz val="10"/>
        <rFont val="メイリオ"/>
        <family val="3"/>
        <charset val="128"/>
      </rPr>
      <t>」となっているが、</t>
    </r>
    <r>
      <rPr>
        <sz val="10"/>
        <rFont val="Arial"/>
        <family val="2"/>
      </rPr>
      <t>Mt</t>
    </r>
    <r>
      <rPr>
        <sz val="10"/>
        <rFont val="メイリオ"/>
        <family val="3"/>
        <charset val="128"/>
      </rPr>
      <t>とはメトリックトンという意味であるが、実態は「</t>
    </r>
    <r>
      <rPr>
        <sz val="10"/>
        <rFont val="Arial"/>
        <family val="2"/>
      </rPr>
      <t>1Mt</t>
    </r>
    <r>
      <rPr>
        <sz val="10"/>
        <rFont val="メイリオ"/>
        <family val="3"/>
        <charset val="128"/>
      </rPr>
      <t>＝</t>
    </r>
    <r>
      <rPr>
        <sz val="10"/>
        <rFont val="Arial"/>
        <family val="2"/>
      </rPr>
      <t>1000kg</t>
    </r>
    <r>
      <rPr>
        <sz val="10"/>
        <rFont val="メイリオ"/>
        <family val="3"/>
        <charset val="128"/>
      </rPr>
      <t>＝</t>
    </r>
    <r>
      <rPr>
        <sz val="10"/>
        <rFont val="Arial"/>
        <family val="2"/>
      </rPr>
      <t>1t</t>
    </r>
    <r>
      <rPr>
        <sz val="10"/>
        <rFont val="メイリオ"/>
        <family val="3"/>
        <charset val="128"/>
      </rPr>
      <t>」である。</t>
    </r>
    <rPh sb="2" eb="3">
      <t>テツ</t>
    </rPh>
    <rPh sb="9" eb="11">
      <t>タンイ</t>
    </rPh>
    <rPh sb="13" eb="14">
      <t>エン</t>
    </rPh>
    <rPh sb="40" eb="42">
      <t>イミ</t>
    </rPh>
    <rPh sb="47" eb="49">
      <t>ジッタイ</t>
    </rPh>
    <phoneticPr fontId="17"/>
  </si>
  <si>
    <r>
      <rPr>
        <sz val="10"/>
        <rFont val="メイリオ"/>
        <family val="3"/>
        <charset val="128"/>
      </rPr>
      <t>　　あえて</t>
    </r>
    <r>
      <rPr>
        <sz val="10"/>
        <rFont val="Arial"/>
        <family val="2"/>
      </rPr>
      <t>Mt</t>
    </r>
    <r>
      <rPr>
        <sz val="10"/>
        <rFont val="メイリオ"/>
        <family val="3"/>
        <charset val="128"/>
      </rPr>
      <t>としているのは、重量を表わすトンには、ロングトンとショートトンがあり、誤解を防ぐために</t>
    </r>
    <r>
      <rPr>
        <sz val="10"/>
        <rFont val="Arial"/>
        <family val="2"/>
      </rPr>
      <t>Mt</t>
    </r>
    <r>
      <rPr>
        <sz val="10"/>
        <rFont val="メイリオ"/>
        <family val="3"/>
        <charset val="128"/>
      </rPr>
      <t>としているらしい。</t>
    </r>
    <rPh sb="15" eb="17">
      <t>ジュウリョウ</t>
    </rPh>
    <rPh sb="18" eb="19">
      <t>アラワ</t>
    </rPh>
    <rPh sb="42" eb="44">
      <t>ゴカイ</t>
    </rPh>
    <rPh sb="45" eb="46">
      <t>フセ</t>
    </rPh>
    <phoneticPr fontId="17"/>
  </si>
  <si>
    <r>
      <rPr>
        <sz val="9"/>
        <rFont val="メイリオ"/>
        <family val="3"/>
        <charset val="128"/>
      </rPr>
      <t>　　■中古自動車の輸出手続代行サービスは</t>
    </r>
    <r>
      <rPr>
        <sz val="9"/>
        <rFont val="Arial"/>
        <family val="2"/>
      </rPr>
      <t>2011</t>
    </r>
    <r>
      <rPr>
        <sz val="9"/>
        <rFont val="メイリオ"/>
        <family val="3"/>
        <charset val="128"/>
      </rPr>
      <t>年</t>
    </r>
    <r>
      <rPr>
        <sz val="9"/>
        <rFont val="Arial"/>
        <family val="2"/>
      </rPr>
      <t>7</t>
    </r>
    <r>
      <rPr>
        <sz val="9"/>
        <rFont val="メイリオ"/>
        <family val="3"/>
        <charset val="128"/>
      </rPr>
      <t>月から営業開始したため、</t>
    </r>
    <r>
      <rPr>
        <sz val="9"/>
        <rFont val="Arial"/>
        <family val="2"/>
      </rPr>
      <t>2011.3</t>
    </r>
    <r>
      <rPr>
        <sz val="9"/>
        <rFont val="メイリオ"/>
        <family val="3"/>
        <charset val="128"/>
      </rPr>
      <t>期の売上は</t>
    </r>
    <r>
      <rPr>
        <sz val="9"/>
        <rFont val="Arial"/>
        <family val="2"/>
      </rPr>
      <t>"-"</t>
    </r>
    <r>
      <rPr>
        <sz val="9"/>
        <rFont val="メイリオ"/>
        <family val="3"/>
        <charset val="128"/>
      </rPr>
      <t>とする。（赤塚主任より</t>
    </r>
    <r>
      <rPr>
        <sz val="9"/>
        <rFont val="Arial"/>
        <family val="2"/>
      </rPr>
      <t>)</t>
    </r>
    <rPh sb="24" eb="25">
      <t>ネン</t>
    </rPh>
    <rPh sb="26" eb="27">
      <t>ガツ</t>
    </rPh>
    <rPh sb="29" eb="31">
      <t>エイギョウ</t>
    </rPh>
    <rPh sb="31" eb="33">
      <t>カイシ</t>
    </rPh>
    <rPh sb="46" eb="48">
      <t>ウリアゲ</t>
    </rPh>
    <rPh sb="57" eb="59">
      <t>アカツカ</t>
    </rPh>
    <rPh sb="59" eb="61">
      <t>シュニン</t>
    </rPh>
    <phoneticPr fontId="29"/>
  </si>
  <si>
    <r>
      <rPr>
        <sz val="9"/>
        <rFont val="メイリオ"/>
        <family val="3"/>
        <charset val="128"/>
      </rPr>
      <t>　　■中古自動車の輸出手続代行サービスの「過去</t>
    </r>
    <r>
      <rPr>
        <sz val="9"/>
        <rFont val="Arial"/>
        <family val="2"/>
      </rPr>
      <t>X</t>
    </r>
    <r>
      <rPr>
        <sz val="9"/>
        <rFont val="メイリオ"/>
        <family val="3"/>
        <charset val="128"/>
      </rPr>
      <t>年平均増減率」は、営業開始年度である</t>
    </r>
    <r>
      <rPr>
        <sz val="9"/>
        <rFont val="Arial"/>
        <family val="2"/>
      </rPr>
      <t>2012.3</t>
    </r>
    <r>
      <rPr>
        <sz val="9"/>
        <rFont val="メイリオ"/>
        <family val="3"/>
        <charset val="128"/>
      </rPr>
      <t>期を基準とする。（</t>
    </r>
    <r>
      <rPr>
        <sz val="9"/>
        <rFont val="Arial"/>
        <family val="2"/>
      </rPr>
      <t>2015.05.08</t>
    </r>
    <r>
      <rPr>
        <sz val="9"/>
        <rFont val="メイリオ"/>
        <family val="3"/>
        <charset val="128"/>
      </rPr>
      <t>服部上席確認）</t>
    </r>
    <rPh sb="21" eb="23">
      <t>カコ</t>
    </rPh>
    <rPh sb="24" eb="25">
      <t>ネン</t>
    </rPh>
    <rPh sb="25" eb="27">
      <t>ヘイキン</t>
    </rPh>
    <rPh sb="27" eb="29">
      <t>ゾウゲン</t>
    </rPh>
    <rPh sb="29" eb="30">
      <t>リツ</t>
    </rPh>
    <rPh sb="33" eb="35">
      <t>エイギョウ</t>
    </rPh>
    <rPh sb="35" eb="37">
      <t>カイシ</t>
    </rPh>
    <rPh sb="37" eb="39">
      <t>ネンド</t>
    </rPh>
    <rPh sb="48" eb="49">
      <t>キ</t>
    </rPh>
    <rPh sb="50" eb="52">
      <t>キジュン</t>
    </rPh>
    <rPh sb="67" eb="69">
      <t>ハットリ</t>
    </rPh>
    <rPh sb="69" eb="71">
      <t>ジョウセキ</t>
    </rPh>
    <rPh sb="71" eb="73">
      <t>カクニン</t>
    </rPh>
    <phoneticPr fontId="29"/>
  </si>
  <si>
    <r>
      <t xml:space="preserve">  </t>
    </r>
    <r>
      <rPr>
        <sz val="10"/>
        <rFont val="メイリオ"/>
        <family val="3"/>
        <charset val="128"/>
      </rPr>
      <t>■</t>
    </r>
    <r>
      <rPr>
        <sz val="10"/>
        <rFont val="Arial"/>
        <family val="2"/>
      </rPr>
      <t>2016</t>
    </r>
    <r>
      <rPr>
        <sz val="10"/>
        <rFont val="メイリオ"/>
        <family val="3"/>
        <charset val="128"/>
      </rPr>
      <t>年</t>
    </r>
    <r>
      <rPr>
        <sz val="10"/>
        <rFont val="Arial"/>
        <family val="2"/>
      </rPr>
      <t>2</t>
    </r>
    <r>
      <rPr>
        <sz val="10"/>
        <rFont val="メイリオ"/>
        <family val="3"/>
        <charset val="128"/>
      </rPr>
      <t>月にﾚﾝﾀｶｰ事業が開始している。売上高等は売電事業と合算してその他に記載する</t>
    </r>
    <rPh sb="7" eb="8">
      <t>ネン</t>
    </rPh>
    <rPh sb="9" eb="10">
      <t>ガツ</t>
    </rPh>
    <rPh sb="16" eb="18">
      <t>ジギョウ</t>
    </rPh>
    <rPh sb="19" eb="21">
      <t>カイシ</t>
    </rPh>
    <rPh sb="26" eb="28">
      <t>ウリアゲ</t>
    </rPh>
    <rPh sb="28" eb="29">
      <t>ダカ</t>
    </rPh>
    <rPh sb="29" eb="30">
      <t>ナド</t>
    </rPh>
    <rPh sb="31" eb="33">
      <t>バイデン</t>
    </rPh>
    <rPh sb="33" eb="35">
      <t>ジギョウ</t>
    </rPh>
    <rPh sb="36" eb="38">
      <t>ガッサン</t>
    </rPh>
    <rPh sb="42" eb="43">
      <t>タ</t>
    </rPh>
    <rPh sb="44" eb="46">
      <t>キサイ</t>
    </rPh>
    <phoneticPr fontId="17"/>
  </si>
  <si>
    <r>
      <rPr>
        <sz val="10"/>
        <rFont val="メイリオ"/>
        <family val="3"/>
        <charset val="128"/>
      </rPr>
      <t>　■</t>
    </r>
    <r>
      <rPr>
        <sz val="10"/>
        <rFont val="Arial"/>
        <family val="2"/>
      </rPr>
      <t>2020.3</t>
    </r>
    <r>
      <rPr>
        <sz val="10"/>
        <rFont val="メイリオ"/>
        <family val="3"/>
        <charset val="128"/>
      </rPr>
      <t>期より</t>
    </r>
    <r>
      <rPr>
        <sz val="10"/>
        <rFont val="Arial"/>
        <family val="2"/>
      </rPr>
      <t>SMART</t>
    </r>
    <r>
      <rPr>
        <sz val="10"/>
        <rFont val="メイリオ"/>
        <family val="3"/>
        <charset val="128"/>
      </rPr>
      <t>を廃自動車等に含める。</t>
    </r>
    <rPh sb="8" eb="9">
      <t>キ</t>
    </rPh>
    <rPh sb="17" eb="18">
      <t>ハイ</t>
    </rPh>
    <rPh sb="18" eb="21">
      <t>ジドウシャ</t>
    </rPh>
    <rPh sb="21" eb="22">
      <t>トウ</t>
    </rPh>
    <rPh sb="23" eb="24">
      <t>フク</t>
    </rPh>
    <phoneticPr fontId="17"/>
  </si>
  <si>
    <r>
      <rPr>
        <sz val="10"/>
        <rFont val="メイリオ"/>
        <family val="3"/>
        <charset val="128"/>
      </rPr>
      <t>　■</t>
    </r>
    <r>
      <rPr>
        <sz val="10"/>
        <rFont val="Arial"/>
        <family val="2"/>
      </rPr>
      <t>2021.3</t>
    </r>
    <r>
      <rPr>
        <sz val="10"/>
        <rFont val="メイリオ"/>
        <family val="3"/>
        <charset val="128"/>
      </rPr>
      <t>期作成時に鉄相場をもらいなおしたことで、</t>
    </r>
    <r>
      <rPr>
        <sz val="10"/>
        <rFont val="Arial"/>
        <family val="2"/>
      </rPr>
      <t>2020.3</t>
    </r>
    <r>
      <rPr>
        <sz val="10"/>
        <rFont val="メイリオ"/>
        <family val="3"/>
        <charset val="128"/>
      </rPr>
      <t>期の最低値と平均値の数値が変更となった。→</t>
    </r>
    <r>
      <rPr>
        <sz val="10"/>
        <rFont val="Arial"/>
        <family val="2"/>
      </rPr>
      <t>\\10.51.3.13\</t>
    </r>
    <r>
      <rPr>
        <sz val="10"/>
        <rFont val="メイリオ"/>
        <family val="3"/>
        <charset val="128"/>
      </rPr>
      <t>財務部</t>
    </r>
    <r>
      <rPr>
        <sz val="10"/>
        <rFont val="Arial"/>
        <family val="2"/>
      </rPr>
      <t>\10_</t>
    </r>
    <r>
      <rPr>
        <sz val="10"/>
        <rFont val="メイリオ"/>
        <family val="3"/>
        <charset val="128"/>
      </rPr>
      <t>担当業務</t>
    </r>
    <r>
      <rPr>
        <sz val="10"/>
        <rFont val="Arial"/>
        <family val="2"/>
      </rPr>
      <t>\30_</t>
    </r>
    <r>
      <rPr>
        <sz val="10"/>
        <rFont val="メイリオ"/>
        <family val="3"/>
        <charset val="128"/>
      </rPr>
      <t>決算</t>
    </r>
    <r>
      <rPr>
        <sz val="10"/>
        <rFont val="Arial"/>
        <family val="2"/>
      </rPr>
      <t>\DATABOOK\2103\</t>
    </r>
    <r>
      <rPr>
        <sz val="10"/>
        <rFont val="メイリオ"/>
        <family val="3"/>
        <charset val="128"/>
      </rPr>
      <t>追加資料</t>
    </r>
    <r>
      <rPr>
        <sz val="10"/>
        <rFont val="Arial"/>
        <family val="2"/>
      </rPr>
      <t>\</t>
    </r>
    <r>
      <rPr>
        <sz val="10"/>
        <rFont val="メイリオ"/>
        <family val="3"/>
        <charset val="128"/>
      </rPr>
      <t>鉄相場の修正</t>
    </r>
    <rPh sb="8" eb="9">
      <t>キ</t>
    </rPh>
    <rPh sb="9" eb="11">
      <t>サクセイ</t>
    </rPh>
    <rPh sb="11" eb="12">
      <t>ジ</t>
    </rPh>
    <rPh sb="13" eb="14">
      <t>テツ</t>
    </rPh>
    <rPh sb="14" eb="16">
      <t>ソウバ</t>
    </rPh>
    <rPh sb="34" eb="35">
      <t>キ</t>
    </rPh>
    <rPh sb="36" eb="38">
      <t>サイテイ</t>
    </rPh>
    <rPh sb="38" eb="39">
      <t>チ</t>
    </rPh>
    <rPh sb="40" eb="43">
      <t>ヘイキンチ</t>
    </rPh>
    <rPh sb="44" eb="46">
      <t>スウチ</t>
    </rPh>
    <rPh sb="47" eb="49">
      <t>ヘンコウ</t>
    </rPh>
    <phoneticPr fontId="17"/>
  </si>
  <si>
    <r>
      <rPr>
        <sz val="10"/>
        <rFont val="メイリオ"/>
        <family val="3"/>
        <charset val="128"/>
      </rPr>
      <t>　■リサイクル・廃ゴム・中古自動車の輸出手続代行サービスの英語をＰ</t>
    </r>
    <r>
      <rPr>
        <sz val="10"/>
        <rFont val="Arial"/>
        <family val="2"/>
      </rPr>
      <t>.22</t>
    </r>
    <r>
      <rPr>
        <sz val="10"/>
        <rFont val="メイリオ"/>
        <family val="3"/>
        <charset val="128"/>
      </rPr>
      <t>と合わせる為変更。</t>
    </r>
    <rPh sb="8" eb="9">
      <t>ハイ</t>
    </rPh>
    <rPh sb="12" eb="14">
      <t>チュウコ</t>
    </rPh>
    <rPh sb="14" eb="17">
      <t>ジドウシャ</t>
    </rPh>
    <rPh sb="18" eb="20">
      <t>ユシュツ</t>
    </rPh>
    <rPh sb="20" eb="22">
      <t>テツヅ</t>
    </rPh>
    <rPh sb="22" eb="24">
      <t>ダイコウ</t>
    </rPh>
    <rPh sb="29" eb="31">
      <t>エイゴ</t>
    </rPh>
    <rPh sb="37" eb="38">
      <t>ア</t>
    </rPh>
    <rPh sb="41" eb="42">
      <t>タメ</t>
    </rPh>
    <rPh sb="42" eb="44">
      <t>ヘンコウ</t>
    </rPh>
    <phoneticPr fontId="17"/>
  </si>
  <si>
    <r>
      <t xml:space="preserve">            E1700AZ_</t>
    </r>
    <r>
      <rPr>
        <sz val="10"/>
        <rFont val="メイリオ"/>
        <family val="3"/>
        <charset val="128"/>
      </rPr>
      <t>●●</t>
    </r>
    <r>
      <rPr>
        <sz val="10"/>
        <rFont val="Arial"/>
        <family val="2"/>
      </rPr>
      <t>03</t>
    </r>
    <r>
      <rPr>
        <sz val="10"/>
        <rFont val="メイリオ"/>
        <family val="3"/>
        <charset val="128"/>
      </rPr>
      <t>相場表</t>
    </r>
    <rPh sb="24" eb="26">
      <t>ソウバ</t>
    </rPh>
    <rPh sb="26" eb="27">
      <t>ヒョウ</t>
    </rPh>
    <phoneticPr fontId="17"/>
  </si>
  <si>
    <r>
      <rPr>
        <sz val="8"/>
        <rFont val="メイリオ"/>
        <family val="3"/>
        <charset val="128"/>
      </rPr>
      <t xml:space="preserve">廃ゴムのリサイクル
</t>
    </r>
    <r>
      <rPr>
        <sz val="8"/>
        <rFont val="Arial"/>
        <family val="2"/>
      </rPr>
      <t>Recycling Scrap Rubbers</t>
    </r>
    <rPh sb="0" eb="1">
      <t>ハイ</t>
    </rPh>
    <phoneticPr fontId="17"/>
  </si>
  <si>
    <r>
      <rPr>
        <sz val="8"/>
        <rFont val="メイリオ"/>
        <family val="3"/>
        <charset val="128"/>
      </rPr>
      <t xml:space="preserve">中古自動車の輸出手続代行サービス
</t>
    </r>
    <r>
      <rPr>
        <sz val="8"/>
        <rFont val="Arial"/>
        <family val="2"/>
      </rPr>
      <t>Used Vehicle Export Clearing Service</t>
    </r>
    <rPh sb="10" eb="12">
      <t>ダイコウ</t>
    </rPh>
    <phoneticPr fontId="17"/>
  </si>
  <si>
    <r>
      <t xml:space="preserve"> </t>
    </r>
    <r>
      <rPr>
        <sz val="8"/>
        <rFont val="メイリオ"/>
        <family val="3"/>
        <charset val="128"/>
      </rPr>
      <t>売上高　</t>
    </r>
    <r>
      <rPr>
        <sz val="8"/>
        <rFont val="Arial"/>
        <family val="2"/>
      </rPr>
      <t>Net Sales</t>
    </r>
    <rPh sb="1" eb="4">
      <t>ウリアゲダカ</t>
    </rPh>
    <phoneticPr fontId="18"/>
  </si>
  <si>
    <r>
      <t xml:space="preserve"> </t>
    </r>
    <r>
      <rPr>
        <sz val="8"/>
        <rFont val="メイリオ"/>
        <family val="3"/>
        <charset val="128"/>
      </rPr>
      <t>売上原価　</t>
    </r>
    <r>
      <rPr>
        <sz val="8"/>
        <rFont val="Arial"/>
        <family val="2"/>
      </rPr>
      <t>Cost of Sales</t>
    </r>
    <rPh sb="1" eb="3">
      <t>ウリアゲ</t>
    </rPh>
    <rPh sb="3" eb="5">
      <t>ゲンカ</t>
    </rPh>
    <phoneticPr fontId="18"/>
  </si>
  <si>
    <r>
      <t xml:space="preserve"> </t>
    </r>
    <r>
      <rPr>
        <sz val="8"/>
        <rFont val="メイリオ"/>
        <family val="3"/>
        <charset val="128"/>
      </rPr>
      <t>売上総利益　</t>
    </r>
    <r>
      <rPr>
        <sz val="8"/>
        <rFont val="Arial"/>
        <family val="2"/>
      </rPr>
      <t>Gross Profit</t>
    </r>
    <rPh sb="1" eb="3">
      <t>ウリアゲ</t>
    </rPh>
    <rPh sb="3" eb="6">
      <t>ソウリエキ</t>
    </rPh>
    <phoneticPr fontId="18"/>
  </si>
  <si>
    <r>
      <t xml:space="preserve"> </t>
    </r>
    <r>
      <rPr>
        <sz val="8"/>
        <rFont val="メイリオ"/>
        <family val="3"/>
        <charset val="128"/>
      </rPr>
      <t>売上総利益率　</t>
    </r>
    <r>
      <rPr>
        <sz val="8"/>
        <rFont val="Arial"/>
        <family val="2"/>
      </rPr>
      <t>Gross Profit Margin</t>
    </r>
    <rPh sb="1" eb="3">
      <t>ウリアゲ</t>
    </rPh>
    <rPh sb="3" eb="6">
      <t>ソウリエキ</t>
    </rPh>
    <rPh sb="6" eb="7">
      <t>リツ</t>
    </rPh>
    <phoneticPr fontId="18"/>
  </si>
  <si>
    <r>
      <t xml:space="preserve"> </t>
    </r>
    <r>
      <rPr>
        <sz val="8"/>
        <rFont val="メイリオ"/>
        <family val="3"/>
        <charset val="128"/>
      </rPr>
      <t>販売費及び一般管理費　</t>
    </r>
    <r>
      <rPr>
        <sz val="8"/>
        <rFont val="Arial"/>
        <family val="2"/>
      </rPr>
      <t>Selling, General and Administrative Expenses</t>
    </r>
    <rPh sb="1" eb="4">
      <t>ハンバイヒ</t>
    </rPh>
    <rPh sb="4" eb="5">
      <t>オヨ</t>
    </rPh>
    <rPh sb="6" eb="8">
      <t>イッパン</t>
    </rPh>
    <rPh sb="8" eb="11">
      <t>カンリヒ</t>
    </rPh>
    <phoneticPr fontId="18"/>
  </si>
  <si>
    <r>
      <t xml:space="preserve"> </t>
    </r>
    <r>
      <rPr>
        <sz val="8"/>
        <rFont val="メイリオ"/>
        <family val="3"/>
        <charset val="128"/>
      </rPr>
      <t>販売費及び一般管理費率　</t>
    </r>
    <r>
      <rPr>
        <sz val="8"/>
        <rFont val="Arial"/>
        <family val="2"/>
      </rPr>
      <t>Selling, General and Administrative Expenses Ratio</t>
    </r>
    <rPh sb="1" eb="4">
      <t>ハンバイヒ</t>
    </rPh>
    <rPh sb="4" eb="5">
      <t>オヨ</t>
    </rPh>
    <rPh sb="6" eb="8">
      <t>イッパン</t>
    </rPh>
    <rPh sb="8" eb="11">
      <t>カンリヒ</t>
    </rPh>
    <rPh sb="11" eb="12">
      <t>リツ</t>
    </rPh>
    <phoneticPr fontId="18"/>
  </si>
  <si>
    <r>
      <t xml:space="preserve"> </t>
    </r>
    <r>
      <rPr>
        <sz val="8"/>
        <rFont val="メイリオ"/>
        <family val="3"/>
        <charset val="128"/>
      </rPr>
      <t>営業利益　</t>
    </r>
    <r>
      <rPr>
        <sz val="8"/>
        <rFont val="Arial"/>
        <family val="2"/>
      </rPr>
      <t>Operating Profit</t>
    </r>
    <rPh sb="1" eb="3">
      <t>エイギョウ</t>
    </rPh>
    <rPh sb="3" eb="5">
      <t>リエキ</t>
    </rPh>
    <phoneticPr fontId="18"/>
  </si>
  <si>
    <r>
      <t xml:space="preserve"> </t>
    </r>
    <r>
      <rPr>
        <sz val="8"/>
        <rFont val="メイリオ"/>
        <family val="3"/>
        <charset val="128"/>
      </rPr>
      <t>営業利益率　</t>
    </r>
    <r>
      <rPr>
        <sz val="8"/>
        <rFont val="Arial"/>
        <family val="2"/>
      </rPr>
      <t>Operating Margin</t>
    </r>
    <rPh sb="1" eb="3">
      <t>エイギョウ</t>
    </rPh>
    <rPh sb="3" eb="5">
      <t>リエキ</t>
    </rPh>
    <rPh sb="5" eb="6">
      <t>リツ</t>
    </rPh>
    <phoneticPr fontId="18"/>
  </si>
  <si>
    <r>
      <t xml:space="preserve"> </t>
    </r>
    <r>
      <rPr>
        <sz val="8"/>
        <rFont val="メイリオ"/>
        <family val="3"/>
        <charset val="128"/>
      </rPr>
      <t>法人税等　</t>
    </r>
    <r>
      <rPr>
        <sz val="8"/>
        <rFont val="Arial"/>
        <family val="2"/>
      </rPr>
      <t>Income Taxes</t>
    </r>
    <rPh sb="4" eb="5">
      <t>トウ</t>
    </rPh>
    <phoneticPr fontId="18"/>
  </si>
  <si>
    <r>
      <t xml:space="preserve"> </t>
    </r>
    <r>
      <rPr>
        <sz val="8"/>
        <rFont val="メイリオ"/>
        <family val="3"/>
        <charset val="128"/>
      </rPr>
      <t>法人税率　</t>
    </r>
    <r>
      <rPr>
        <sz val="8"/>
        <rFont val="Arial"/>
        <family val="2"/>
      </rPr>
      <t>Tax Rate</t>
    </r>
    <rPh sb="4" eb="5">
      <t>リツ</t>
    </rPh>
    <phoneticPr fontId="18"/>
  </si>
  <si>
    <r>
      <t xml:space="preserve"> </t>
    </r>
    <r>
      <rPr>
        <sz val="8"/>
        <rFont val="メイリオ"/>
        <family val="3"/>
        <charset val="128"/>
      </rPr>
      <t>非支配株主に帰属する当期純利益　</t>
    </r>
    <r>
      <rPr>
        <sz val="8"/>
        <rFont val="Arial"/>
        <family val="2"/>
      </rPr>
      <t>Profit Attributable to Non-controlling Interests</t>
    </r>
    <rPh sb="11" eb="13">
      <t>トウキ</t>
    </rPh>
    <rPh sb="13" eb="16">
      <t>ジュンリエキ</t>
    </rPh>
    <phoneticPr fontId="18"/>
  </si>
  <si>
    <r>
      <t xml:space="preserve"> </t>
    </r>
    <r>
      <rPr>
        <sz val="8"/>
        <rFont val="メイリオ"/>
        <family val="3"/>
        <charset val="128"/>
      </rPr>
      <t>親会社株主に帰属する当期純利益　</t>
    </r>
    <r>
      <rPr>
        <sz val="8"/>
        <rFont val="Arial"/>
        <family val="2"/>
      </rPr>
      <t>Profit Attributable to Owners of Parent</t>
    </r>
    <rPh sb="1" eb="4">
      <t>オヤガイシャ</t>
    </rPh>
    <rPh sb="4" eb="6">
      <t>カブヌシ</t>
    </rPh>
    <rPh sb="7" eb="9">
      <t>キゾク</t>
    </rPh>
    <rPh sb="11" eb="13">
      <t>トウキ</t>
    </rPh>
    <rPh sb="13" eb="16">
      <t>ジュンリエキ</t>
    </rPh>
    <phoneticPr fontId="18"/>
  </si>
  <si>
    <r>
      <t xml:space="preserve"> </t>
    </r>
    <r>
      <rPr>
        <sz val="8"/>
        <rFont val="メイリオ"/>
        <family val="3"/>
        <charset val="128"/>
      </rPr>
      <t>包括利益　</t>
    </r>
    <r>
      <rPr>
        <sz val="8"/>
        <rFont val="Arial"/>
        <family val="2"/>
      </rPr>
      <t>Comprehensive Income</t>
    </r>
    <rPh sb="1" eb="3">
      <t>ホウカツ</t>
    </rPh>
    <rPh sb="3" eb="5">
      <t>リエキ</t>
    </rPh>
    <phoneticPr fontId="18"/>
  </si>
  <si>
    <t xml:space="preserve">* Minority Interests in Income for the period up to the fiscal year ended March 2015 is presented as Profit Attributable to Non-controlling Interests. </t>
    <phoneticPr fontId="17"/>
  </si>
  <si>
    <t>* Net Income for the period up to the fiscal year ended March 2015 is presented as Profit Attributable to Owners of Parent.</t>
    <phoneticPr fontId="18"/>
  </si>
  <si>
    <r>
      <t>Operating Margin</t>
    </r>
    <r>
      <rPr>
        <sz val="10"/>
        <rFont val="メイリオ"/>
        <family val="3"/>
        <charset val="128"/>
      </rPr>
      <t>　＝　</t>
    </r>
    <r>
      <rPr>
        <sz val="10"/>
        <rFont val="Arial"/>
        <family val="2"/>
      </rPr>
      <t>Operating Profit / Net Sales ×100%</t>
    </r>
    <phoneticPr fontId="29"/>
  </si>
  <si>
    <r>
      <t>Tax Rate</t>
    </r>
    <r>
      <rPr>
        <sz val="10"/>
        <rFont val="メイリオ"/>
        <family val="3"/>
        <charset val="128"/>
      </rPr>
      <t>　＝　</t>
    </r>
    <r>
      <rPr>
        <sz val="10"/>
        <rFont val="Arial"/>
        <family val="2"/>
      </rPr>
      <t>Income Taxes / Profit Before Income Taxes ×100%</t>
    </r>
    <phoneticPr fontId="29"/>
  </si>
  <si>
    <r>
      <t>Dividend Payout Rate</t>
    </r>
    <r>
      <rPr>
        <sz val="10"/>
        <rFont val="メイリオ"/>
        <family val="3"/>
        <charset val="128"/>
      </rPr>
      <t>　＝　</t>
    </r>
    <r>
      <rPr>
        <sz val="10"/>
        <rFont val="Arial"/>
        <family val="2"/>
      </rPr>
      <t>Total Dividends (fiscal year) / Profit Attributable to Owners of Parent ×100%</t>
    </r>
    <phoneticPr fontId="29"/>
  </si>
  <si>
    <r>
      <t>Equity Ratio</t>
    </r>
    <r>
      <rPr>
        <sz val="10"/>
        <rFont val="メイリオ"/>
        <family val="3"/>
        <charset val="128"/>
      </rPr>
      <t>　＝　</t>
    </r>
    <r>
      <rPr>
        <sz val="10"/>
        <rFont val="Arial"/>
        <family val="2"/>
      </rPr>
      <t xml:space="preserve"> Equity Capital / Total assets ×100%</t>
    </r>
    <phoneticPr fontId="29"/>
  </si>
  <si>
    <r>
      <t xml:space="preserve">Fees per Vehicle </t>
    </r>
    <r>
      <rPr>
        <sz val="10"/>
        <rFont val="メイリオ"/>
        <family val="3"/>
        <charset val="128"/>
      </rPr>
      <t>＝　</t>
    </r>
    <r>
      <rPr>
        <sz val="10"/>
        <rFont val="Arial"/>
        <family val="2"/>
      </rPr>
      <t>Fees for Vehicles before eliminations for consolidation / No. of vehicles</t>
    </r>
    <phoneticPr fontId="29"/>
  </si>
  <si>
    <r>
      <rPr>
        <sz val="6"/>
        <rFont val="メイリオ"/>
        <family val="3"/>
        <charset val="128"/>
      </rPr>
      <t>※</t>
    </r>
    <r>
      <rPr>
        <sz val="6"/>
        <rFont val="Arial"/>
        <family val="2"/>
      </rPr>
      <t>2011</t>
    </r>
    <r>
      <rPr>
        <sz val="6"/>
        <rFont val="メイリオ"/>
        <family val="3"/>
        <charset val="128"/>
      </rPr>
      <t>年</t>
    </r>
    <r>
      <rPr>
        <sz val="6"/>
        <rFont val="Arial"/>
        <family val="2"/>
      </rPr>
      <t>2</t>
    </r>
    <r>
      <rPr>
        <sz val="6"/>
        <rFont val="メイリオ"/>
        <family val="3"/>
        <charset val="128"/>
      </rPr>
      <t>月に設立した株式会社</t>
    </r>
    <r>
      <rPr>
        <sz val="6"/>
        <rFont val="Arial"/>
        <family val="2"/>
      </rPr>
      <t>USS</t>
    </r>
    <r>
      <rPr>
        <sz val="6"/>
        <rFont val="メイリオ"/>
        <family val="3"/>
        <charset val="128"/>
      </rPr>
      <t>ﾛｼﾞｽﾃｨｸｽ・ｲﾝﾀｰﾅｼｮﾅﾙ・ｻｰﾋﾞｽの中古自動車の輸出手続サービス業は、その他の事業に対する割合が過少であるため、表示を省略しております。</t>
    </r>
    <rPh sb="5" eb="6">
      <t>ネン</t>
    </rPh>
    <rPh sb="7" eb="8">
      <t>ガツ</t>
    </rPh>
    <rPh sb="9" eb="11">
      <t>セツリツ</t>
    </rPh>
    <rPh sb="13" eb="15">
      <t>カブシキ</t>
    </rPh>
    <rPh sb="15" eb="17">
      <t>カイシャ</t>
    </rPh>
    <rPh sb="45" eb="47">
      <t>チュウコ</t>
    </rPh>
    <rPh sb="47" eb="50">
      <t>ジドウシャ</t>
    </rPh>
    <rPh sb="51" eb="53">
      <t>ユシュツ</t>
    </rPh>
    <rPh sb="53" eb="55">
      <t>テツヅ</t>
    </rPh>
    <rPh sb="59" eb="60">
      <t>ギョウ</t>
    </rPh>
    <rPh sb="64" eb="65">
      <t>タ</t>
    </rPh>
    <rPh sb="66" eb="68">
      <t>ジギョウ</t>
    </rPh>
    <rPh sb="69" eb="70">
      <t>タイ</t>
    </rPh>
    <rPh sb="72" eb="74">
      <t>ワリアイ</t>
    </rPh>
    <rPh sb="75" eb="77">
      <t>カショウ</t>
    </rPh>
    <rPh sb="83" eb="85">
      <t>ヒョウジ</t>
    </rPh>
    <rPh sb="86" eb="88">
      <t>ショウリャク</t>
    </rPh>
    <phoneticPr fontId="17"/>
  </si>
  <si>
    <r>
      <rPr>
        <sz val="9"/>
        <rFont val="メイリオ"/>
        <family val="3"/>
        <charset val="128"/>
      </rPr>
      <t>流動資産　</t>
    </r>
    <r>
      <rPr>
        <sz val="9"/>
        <rFont val="Arial"/>
        <family val="2"/>
      </rPr>
      <t>Current Assets</t>
    </r>
  </si>
  <si>
    <r>
      <rPr>
        <sz val="9"/>
        <rFont val="メイリオ"/>
        <family val="3"/>
        <charset val="128"/>
      </rPr>
      <t>現金及び預金　</t>
    </r>
    <r>
      <rPr>
        <sz val="9"/>
        <rFont val="Arial"/>
        <family val="2"/>
      </rPr>
      <t>Cash and Deposits</t>
    </r>
    <rPh sb="2" eb="3">
      <t>オヨ</t>
    </rPh>
    <phoneticPr fontId="17"/>
  </si>
  <si>
    <r>
      <rPr>
        <sz val="9"/>
        <rFont val="メイリオ"/>
        <family val="3"/>
        <charset val="128"/>
      </rPr>
      <t>オークション貸勘定　</t>
    </r>
    <r>
      <rPr>
        <sz val="9"/>
        <rFont val="Arial"/>
        <family val="2"/>
      </rPr>
      <t>Receivables Due from Member Dealers at Auction</t>
    </r>
    <rPh sb="6" eb="7">
      <t>カ</t>
    </rPh>
    <rPh sb="7" eb="9">
      <t>カンジョウ</t>
    </rPh>
    <phoneticPr fontId="17"/>
  </si>
  <si>
    <r>
      <rPr>
        <sz val="9"/>
        <rFont val="メイリオ"/>
        <family val="3"/>
        <charset val="128"/>
      </rPr>
      <t>受取手形、売掛金及び契約資産　</t>
    </r>
    <r>
      <rPr>
        <sz val="9"/>
        <rFont val="Arial"/>
        <family val="2"/>
      </rPr>
      <t>Notes and Accounts Receivable-Trade, and Contract Assets</t>
    </r>
    <rPh sb="0" eb="2">
      <t>ウケトリ</t>
    </rPh>
    <rPh sb="2" eb="4">
      <t>テガタ</t>
    </rPh>
    <rPh sb="5" eb="8">
      <t>ウリカケキン</t>
    </rPh>
    <rPh sb="8" eb="9">
      <t>オヨ</t>
    </rPh>
    <rPh sb="10" eb="14">
      <t>ケイヤクシサン</t>
    </rPh>
    <phoneticPr fontId="17"/>
  </si>
  <si>
    <r>
      <rPr>
        <sz val="9"/>
        <rFont val="メイリオ"/>
        <family val="3"/>
        <charset val="128"/>
      </rPr>
      <t>繰延税金資産　</t>
    </r>
    <r>
      <rPr>
        <sz val="9"/>
        <rFont val="Arial"/>
        <family val="2"/>
      </rPr>
      <t>Deferred Tax Assets</t>
    </r>
    <rPh sb="0" eb="2">
      <t>クリノベ</t>
    </rPh>
    <rPh sb="2" eb="4">
      <t>ゼイキン</t>
    </rPh>
    <rPh sb="4" eb="6">
      <t>シサン</t>
    </rPh>
    <phoneticPr fontId="16"/>
  </si>
  <si>
    <r>
      <rPr>
        <sz val="9"/>
        <rFont val="メイリオ"/>
        <family val="3"/>
        <charset val="128"/>
      </rPr>
      <t>その他　</t>
    </r>
    <r>
      <rPr>
        <sz val="9"/>
        <rFont val="Arial"/>
        <family val="2"/>
      </rPr>
      <t>Other</t>
    </r>
    <rPh sb="0" eb="3">
      <t>ソノタ</t>
    </rPh>
    <phoneticPr fontId="17"/>
  </si>
  <si>
    <r>
      <rPr>
        <sz val="9"/>
        <rFont val="メイリオ"/>
        <family val="3"/>
        <charset val="128"/>
      </rPr>
      <t>貸倒引当金　</t>
    </r>
    <r>
      <rPr>
        <sz val="9"/>
        <rFont val="Arial"/>
        <family val="2"/>
      </rPr>
      <t>Allowance for Doubtful Accounts</t>
    </r>
  </si>
  <si>
    <r>
      <rPr>
        <sz val="9"/>
        <rFont val="メイリオ"/>
        <family val="3"/>
        <charset val="128"/>
      </rPr>
      <t>固定資産　</t>
    </r>
    <r>
      <rPr>
        <sz val="9"/>
        <rFont val="Arial"/>
        <family val="2"/>
      </rPr>
      <t>Non-current Assets</t>
    </r>
  </si>
  <si>
    <r>
      <rPr>
        <sz val="9"/>
        <rFont val="メイリオ"/>
        <family val="3"/>
        <charset val="128"/>
      </rPr>
      <t>有形固定資産　</t>
    </r>
    <r>
      <rPr>
        <sz val="9"/>
        <rFont val="Arial"/>
        <family val="2"/>
      </rPr>
      <t>Property, Plant and Equipment</t>
    </r>
  </si>
  <si>
    <r>
      <rPr>
        <sz val="9"/>
        <rFont val="メイリオ"/>
        <family val="3"/>
        <charset val="128"/>
      </rPr>
      <t>建物及び構築物　</t>
    </r>
    <r>
      <rPr>
        <sz val="9"/>
        <rFont val="Arial"/>
        <family val="2"/>
      </rPr>
      <t>Buildings and Structures,net</t>
    </r>
    <rPh sb="0" eb="2">
      <t>タテモノ</t>
    </rPh>
    <rPh sb="2" eb="3">
      <t>オヨ</t>
    </rPh>
    <rPh sb="4" eb="7">
      <t>コウチクブツ</t>
    </rPh>
    <phoneticPr fontId="17"/>
  </si>
  <si>
    <r>
      <rPr>
        <sz val="9"/>
        <rFont val="メイリオ"/>
        <family val="3"/>
        <charset val="128"/>
      </rPr>
      <t>機械装置及び運搬具　</t>
    </r>
    <r>
      <rPr>
        <sz val="9"/>
        <rFont val="Arial"/>
        <family val="2"/>
      </rPr>
      <t>Machinery, Equipment and Vehicles,net</t>
    </r>
    <rPh sb="4" eb="5">
      <t>オヨ</t>
    </rPh>
    <rPh sb="6" eb="8">
      <t>ウンパン</t>
    </rPh>
    <rPh sb="8" eb="9">
      <t>グ</t>
    </rPh>
    <phoneticPr fontId="14"/>
  </si>
  <si>
    <r>
      <rPr>
        <sz val="9"/>
        <rFont val="メイリオ"/>
        <family val="3"/>
        <charset val="128"/>
      </rPr>
      <t>工具、器具及び備品　</t>
    </r>
    <r>
      <rPr>
        <sz val="9"/>
        <rFont val="Arial"/>
        <family val="2"/>
      </rPr>
      <t>Tools, Furniture and Fixtures,net</t>
    </r>
    <rPh sb="0" eb="2">
      <t>コウグ</t>
    </rPh>
    <rPh sb="3" eb="5">
      <t>キグ</t>
    </rPh>
    <rPh sb="5" eb="6">
      <t>オヨ</t>
    </rPh>
    <rPh sb="7" eb="9">
      <t>ビヒン</t>
    </rPh>
    <phoneticPr fontId="17"/>
  </si>
  <si>
    <r>
      <rPr>
        <sz val="9"/>
        <rFont val="メイリオ"/>
        <family val="3"/>
        <charset val="128"/>
      </rPr>
      <t>その他　</t>
    </r>
    <r>
      <rPr>
        <sz val="9"/>
        <rFont val="Arial"/>
        <family val="2"/>
      </rPr>
      <t>Other</t>
    </r>
    <rPh sb="2" eb="3">
      <t>タ</t>
    </rPh>
    <phoneticPr fontId="17"/>
  </si>
  <si>
    <r>
      <rPr>
        <sz val="9"/>
        <rFont val="メイリオ"/>
        <family val="3"/>
        <charset val="128"/>
      </rPr>
      <t>無形固定資産　</t>
    </r>
    <r>
      <rPr>
        <sz val="9"/>
        <rFont val="Arial"/>
        <family val="2"/>
      </rPr>
      <t>Intangible Assets</t>
    </r>
  </si>
  <si>
    <r>
      <rPr>
        <sz val="9"/>
        <rFont val="メイリオ"/>
        <family val="3"/>
        <charset val="128"/>
      </rPr>
      <t>のれん　</t>
    </r>
    <r>
      <rPr>
        <sz val="9"/>
        <rFont val="Arial"/>
        <family val="2"/>
      </rPr>
      <t>Goodwill</t>
    </r>
  </si>
  <si>
    <r>
      <rPr>
        <sz val="9"/>
        <rFont val="メイリオ"/>
        <family val="3"/>
        <charset val="128"/>
      </rPr>
      <t>投資その他の資産　</t>
    </r>
    <r>
      <rPr>
        <sz val="9"/>
        <rFont val="Arial"/>
        <family val="2"/>
      </rPr>
      <t>Investments and Other Assets</t>
    </r>
    <rPh sb="0" eb="2">
      <t>トウシ</t>
    </rPh>
    <rPh sb="2" eb="5">
      <t>ソノタ</t>
    </rPh>
    <rPh sb="6" eb="8">
      <t>シサン</t>
    </rPh>
    <phoneticPr fontId="17"/>
  </si>
  <si>
    <r>
      <rPr>
        <sz val="9"/>
        <rFont val="メイリオ"/>
        <family val="3"/>
        <charset val="128"/>
      </rPr>
      <t>投資有価証券　</t>
    </r>
    <r>
      <rPr>
        <sz val="9"/>
        <rFont val="Arial"/>
        <family val="2"/>
      </rPr>
      <t>Investment Securities</t>
    </r>
    <rPh sb="0" eb="6">
      <t>トウシユウカショウケン</t>
    </rPh>
    <phoneticPr fontId="17"/>
  </si>
  <si>
    <r>
      <rPr>
        <sz val="9"/>
        <rFont val="メイリオ"/>
        <family val="3"/>
        <charset val="128"/>
      </rPr>
      <t>繰延税金資産　</t>
    </r>
    <r>
      <rPr>
        <sz val="9"/>
        <rFont val="Arial"/>
        <family val="2"/>
      </rPr>
      <t>Deferred Tax Assets</t>
    </r>
    <rPh sb="0" eb="2">
      <t>クリノベ</t>
    </rPh>
    <rPh sb="2" eb="4">
      <t>ゼイキン</t>
    </rPh>
    <rPh sb="4" eb="6">
      <t>シサン</t>
    </rPh>
    <phoneticPr fontId="17"/>
  </si>
  <si>
    <r>
      <rPr>
        <sz val="9"/>
        <rFont val="メイリオ"/>
        <family val="3"/>
        <charset val="128"/>
      </rPr>
      <t>再評価に係る繰延税金資産　</t>
    </r>
    <r>
      <rPr>
        <sz val="9"/>
        <rFont val="Arial"/>
        <family val="2"/>
      </rPr>
      <t>Deferred Tax Assets for Land Revaluation</t>
    </r>
    <rPh sb="0" eb="3">
      <t>サイヒョウカ</t>
    </rPh>
    <rPh sb="4" eb="5">
      <t>カカ</t>
    </rPh>
    <rPh sb="6" eb="8">
      <t>クリノベ</t>
    </rPh>
    <rPh sb="8" eb="10">
      <t>ゼイキン</t>
    </rPh>
    <rPh sb="10" eb="12">
      <t>シサン</t>
    </rPh>
    <phoneticPr fontId="17"/>
  </si>
  <si>
    <r>
      <rPr>
        <sz val="9"/>
        <rFont val="メイリオ"/>
        <family val="3"/>
        <charset val="128"/>
      </rPr>
      <t>流動負債　</t>
    </r>
    <r>
      <rPr>
        <sz val="9"/>
        <rFont val="Arial"/>
        <family val="2"/>
      </rPr>
      <t>Current Liabilities</t>
    </r>
    <rPh sb="2" eb="4">
      <t>フサイ</t>
    </rPh>
    <phoneticPr fontId="17"/>
  </si>
  <si>
    <r>
      <rPr>
        <sz val="9"/>
        <rFont val="メイリオ"/>
        <family val="3"/>
        <charset val="128"/>
      </rPr>
      <t>オークション借勘定　</t>
    </r>
    <r>
      <rPr>
        <sz val="9"/>
        <rFont val="Arial"/>
        <family val="2"/>
      </rPr>
      <t>Payables Due to Member Dealers at Auction</t>
    </r>
  </si>
  <si>
    <r>
      <rPr>
        <sz val="9"/>
        <rFont val="メイリオ"/>
        <family val="3"/>
        <charset val="128"/>
      </rPr>
      <t>短期借入金　</t>
    </r>
    <r>
      <rPr>
        <sz val="9"/>
        <rFont val="Arial"/>
        <family val="2"/>
      </rPr>
      <t>Short-term Borrowings</t>
    </r>
    <rPh sb="0" eb="2">
      <t>タンキ</t>
    </rPh>
    <rPh sb="2" eb="5">
      <t>カリイレキン</t>
    </rPh>
    <phoneticPr fontId="24"/>
  </si>
  <si>
    <r>
      <rPr>
        <sz val="9"/>
        <rFont val="メイリオ"/>
        <family val="3"/>
        <charset val="128"/>
      </rPr>
      <t>未払法人税等　</t>
    </r>
    <r>
      <rPr>
        <sz val="9"/>
        <rFont val="Arial"/>
        <family val="2"/>
      </rPr>
      <t>Income Taxes Payable</t>
    </r>
  </si>
  <si>
    <r>
      <rPr>
        <sz val="9"/>
        <rFont val="メイリオ"/>
        <family val="3"/>
        <charset val="128"/>
      </rPr>
      <t>預り金　</t>
    </r>
    <r>
      <rPr>
        <sz val="9"/>
        <rFont val="Arial"/>
        <family val="2"/>
      </rPr>
      <t>Deposits Received</t>
    </r>
    <rPh sb="0" eb="1">
      <t>アズカ</t>
    </rPh>
    <rPh sb="2" eb="3">
      <t>キン</t>
    </rPh>
    <phoneticPr fontId="24"/>
  </si>
  <si>
    <r>
      <rPr>
        <sz val="9"/>
        <rFont val="メイリオ"/>
        <family val="3"/>
        <charset val="128"/>
      </rPr>
      <t>その他　</t>
    </r>
    <r>
      <rPr>
        <sz val="9"/>
        <rFont val="Arial"/>
        <family val="2"/>
      </rPr>
      <t>Other</t>
    </r>
    <rPh sb="0" eb="3">
      <t>ソノタ</t>
    </rPh>
    <phoneticPr fontId="24"/>
  </si>
  <si>
    <r>
      <rPr>
        <sz val="9"/>
        <rFont val="メイリオ"/>
        <family val="3"/>
        <charset val="128"/>
      </rPr>
      <t>固定負債　</t>
    </r>
    <r>
      <rPr>
        <sz val="9"/>
        <rFont val="Arial"/>
        <family val="2"/>
      </rPr>
      <t>Non-current Liabilities</t>
    </r>
  </si>
  <si>
    <r>
      <rPr>
        <sz val="9"/>
        <rFont val="メイリオ"/>
        <family val="3"/>
        <charset val="128"/>
      </rPr>
      <t>長期借入金　</t>
    </r>
    <r>
      <rPr>
        <sz val="9"/>
        <rFont val="Arial"/>
        <family val="2"/>
      </rPr>
      <t>Long-term Borrowings</t>
    </r>
    <rPh sb="0" eb="2">
      <t>チョウキ</t>
    </rPh>
    <rPh sb="2" eb="5">
      <t>カリイレキン</t>
    </rPh>
    <phoneticPr fontId="24"/>
  </si>
  <si>
    <r>
      <rPr>
        <sz val="9"/>
        <rFont val="メイリオ"/>
        <family val="3"/>
        <charset val="128"/>
      </rPr>
      <t>退職給付に係る負債　</t>
    </r>
    <r>
      <rPr>
        <sz val="9"/>
        <rFont val="Arial"/>
        <family val="2"/>
      </rPr>
      <t>Retirement Benefit Liability</t>
    </r>
    <rPh sb="0" eb="2">
      <t>タイショク</t>
    </rPh>
    <rPh sb="2" eb="4">
      <t>キュウフ</t>
    </rPh>
    <rPh sb="5" eb="6">
      <t>カカワ</t>
    </rPh>
    <rPh sb="7" eb="9">
      <t>フサイ</t>
    </rPh>
    <phoneticPr fontId="14"/>
  </si>
  <si>
    <r>
      <rPr>
        <sz val="9"/>
        <rFont val="メイリオ"/>
        <family val="3"/>
        <charset val="128"/>
      </rPr>
      <t>繰延税金負債　</t>
    </r>
    <r>
      <rPr>
        <sz val="9"/>
        <rFont val="Arial"/>
        <family val="2"/>
      </rPr>
      <t>Deferred Tax Liabilities</t>
    </r>
    <rPh sb="0" eb="2">
      <t>クリノベ</t>
    </rPh>
    <rPh sb="2" eb="4">
      <t>ゼイキン</t>
    </rPh>
    <rPh sb="4" eb="6">
      <t>フサイ</t>
    </rPh>
    <phoneticPr fontId="24"/>
  </si>
  <si>
    <r>
      <rPr>
        <sz val="9"/>
        <rFont val="メイリオ"/>
        <family val="3"/>
        <charset val="128"/>
      </rPr>
      <t>長期預り保証金　</t>
    </r>
    <r>
      <rPr>
        <sz val="9"/>
        <rFont val="Arial"/>
        <family val="2"/>
      </rPr>
      <t>Long-term Guarantee Deposits</t>
    </r>
    <rPh sb="0" eb="2">
      <t>チョウキ</t>
    </rPh>
    <rPh sb="2" eb="3">
      <t>アズカ</t>
    </rPh>
    <rPh sb="4" eb="7">
      <t>ホショウキン</t>
    </rPh>
    <phoneticPr fontId="24"/>
  </si>
  <si>
    <r>
      <rPr>
        <sz val="9"/>
        <rFont val="メイリオ"/>
        <family val="3"/>
        <charset val="128"/>
      </rPr>
      <t>株主資本　</t>
    </r>
    <r>
      <rPr>
        <sz val="9"/>
        <rFont val="Arial"/>
        <family val="2"/>
      </rPr>
      <t>Shareholders' Equity</t>
    </r>
  </si>
  <si>
    <r>
      <rPr>
        <sz val="9"/>
        <rFont val="メイリオ"/>
        <family val="3"/>
        <charset val="128"/>
      </rPr>
      <t>資本金　</t>
    </r>
    <r>
      <rPr>
        <sz val="9"/>
        <rFont val="Arial"/>
        <family val="2"/>
      </rPr>
      <t>Share Capital</t>
    </r>
    <rPh sb="0" eb="3">
      <t>シホンキン</t>
    </rPh>
    <phoneticPr fontId="17"/>
  </si>
  <si>
    <r>
      <rPr>
        <sz val="9"/>
        <rFont val="メイリオ"/>
        <family val="3"/>
        <charset val="128"/>
      </rPr>
      <t>資本剰余金　</t>
    </r>
    <r>
      <rPr>
        <sz val="9"/>
        <rFont val="Arial"/>
        <family val="2"/>
      </rPr>
      <t>Capital Surplus</t>
    </r>
    <rPh sb="0" eb="2">
      <t>シホン</t>
    </rPh>
    <rPh sb="2" eb="5">
      <t>ジョウヨキン</t>
    </rPh>
    <phoneticPr fontId="24"/>
  </si>
  <si>
    <r>
      <rPr>
        <sz val="9"/>
        <rFont val="メイリオ"/>
        <family val="3"/>
        <charset val="128"/>
      </rPr>
      <t>利益剰余金　</t>
    </r>
    <r>
      <rPr>
        <sz val="9"/>
        <rFont val="Arial"/>
        <family val="2"/>
      </rPr>
      <t>Retained Earnings</t>
    </r>
    <rPh sb="0" eb="2">
      <t>リエキ</t>
    </rPh>
    <rPh sb="2" eb="5">
      <t>ジョウヨキン</t>
    </rPh>
    <phoneticPr fontId="24"/>
  </si>
  <si>
    <r>
      <rPr>
        <sz val="9"/>
        <rFont val="メイリオ"/>
        <family val="3"/>
        <charset val="128"/>
      </rPr>
      <t>自己株式　</t>
    </r>
    <r>
      <rPr>
        <sz val="9"/>
        <rFont val="Arial"/>
        <family val="2"/>
      </rPr>
      <t>Treasury Shares</t>
    </r>
    <rPh sb="0" eb="4">
      <t>ジコカブシキ</t>
    </rPh>
    <phoneticPr fontId="24"/>
  </si>
  <si>
    <r>
      <rPr>
        <sz val="9"/>
        <rFont val="メイリオ"/>
        <family val="3"/>
        <charset val="128"/>
      </rPr>
      <t>その他の包括利益累計額　</t>
    </r>
    <r>
      <rPr>
        <sz val="9"/>
        <rFont val="Arial"/>
        <family val="2"/>
      </rPr>
      <t>Accumulated Other Comprehensive Income</t>
    </r>
    <rPh sb="2" eb="3">
      <t>タ</t>
    </rPh>
    <rPh sb="4" eb="6">
      <t>ホウカツ</t>
    </rPh>
    <rPh sb="6" eb="8">
      <t>リエキ</t>
    </rPh>
    <rPh sb="8" eb="10">
      <t>ルイケイ</t>
    </rPh>
    <rPh sb="10" eb="11">
      <t>ガク</t>
    </rPh>
    <phoneticPr fontId="17"/>
  </si>
  <si>
    <r>
      <rPr>
        <sz val="9"/>
        <rFont val="メイリオ"/>
        <family val="3"/>
        <charset val="128"/>
      </rPr>
      <t>その他有価証券評価差額金　</t>
    </r>
    <r>
      <rPr>
        <sz val="9"/>
        <rFont val="Arial"/>
        <family val="2"/>
      </rPr>
      <t>Valuation Difference on Available-for-sale Securities</t>
    </r>
    <rPh sb="0" eb="3">
      <t>ソノタ</t>
    </rPh>
    <rPh sb="3" eb="7">
      <t>ユウカショウケン</t>
    </rPh>
    <rPh sb="7" eb="9">
      <t>ヒョウカ</t>
    </rPh>
    <rPh sb="9" eb="11">
      <t>サガク</t>
    </rPh>
    <rPh sb="11" eb="12">
      <t>キン</t>
    </rPh>
    <phoneticPr fontId="24"/>
  </si>
  <si>
    <r>
      <rPr>
        <sz val="9"/>
        <rFont val="メイリオ"/>
        <family val="3"/>
        <charset val="128"/>
      </rPr>
      <t>土地再評価差額金　</t>
    </r>
    <r>
      <rPr>
        <sz val="9"/>
        <rFont val="Arial"/>
        <family val="2"/>
      </rPr>
      <t>Revaluation Reserve for Land</t>
    </r>
    <rPh sb="0" eb="2">
      <t>トチ</t>
    </rPh>
    <rPh sb="2" eb="5">
      <t>サイヒョウカ</t>
    </rPh>
    <rPh sb="5" eb="7">
      <t>サガク</t>
    </rPh>
    <rPh sb="7" eb="8">
      <t>キン</t>
    </rPh>
    <phoneticPr fontId="14"/>
  </si>
  <si>
    <r>
      <rPr>
        <sz val="9"/>
        <rFont val="メイリオ"/>
        <family val="3"/>
        <charset val="128"/>
      </rPr>
      <t>退職給付に係る調整累計額　</t>
    </r>
    <r>
      <rPr>
        <sz val="9"/>
        <rFont val="Arial"/>
        <family val="2"/>
      </rPr>
      <t>Remeasurements of Defined Benefit Plans</t>
    </r>
    <rPh sb="0" eb="2">
      <t>タイショク</t>
    </rPh>
    <rPh sb="2" eb="4">
      <t>キュウフ</t>
    </rPh>
    <rPh sb="5" eb="6">
      <t>カカワ</t>
    </rPh>
    <rPh sb="7" eb="9">
      <t>チョウセイ</t>
    </rPh>
    <rPh sb="9" eb="11">
      <t>ルイケイ</t>
    </rPh>
    <rPh sb="11" eb="12">
      <t>ガク</t>
    </rPh>
    <phoneticPr fontId="14"/>
  </si>
  <si>
    <r>
      <rPr>
        <sz val="9"/>
        <rFont val="メイリオ"/>
        <family val="3"/>
        <charset val="128"/>
      </rPr>
      <t>新株予約権　</t>
    </r>
    <r>
      <rPr>
        <sz val="9"/>
        <rFont val="Arial"/>
        <family val="2"/>
      </rPr>
      <t>Share Acquisition Rights</t>
    </r>
    <rPh sb="0" eb="2">
      <t>シンカブ</t>
    </rPh>
    <rPh sb="2" eb="4">
      <t>ヨヤク</t>
    </rPh>
    <rPh sb="4" eb="5">
      <t>ケン</t>
    </rPh>
    <phoneticPr fontId="14"/>
  </si>
  <si>
    <r>
      <rPr>
        <sz val="9"/>
        <rFont val="メイリオ"/>
        <family val="3"/>
        <charset val="128"/>
      </rPr>
      <t>非支配株主持分　</t>
    </r>
    <r>
      <rPr>
        <sz val="9"/>
        <rFont val="Arial"/>
        <family val="2"/>
      </rPr>
      <t>Non-controlling Interests</t>
    </r>
    <rPh sb="0" eb="1">
      <t>ヒ</t>
    </rPh>
    <rPh sb="1" eb="3">
      <t>シハイ</t>
    </rPh>
    <rPh sb="3" eb="5">
      <t>カブヌシ</t>
    </rPh>
    <rPh sb="5" eb="7">
      <t>モチブン</t>
    </rPh>
    <phoneticPr fontId="24"/>
  </si>
  <si>
    <r>
      <rPr>
        <b/>
        <sz val="9.5"/>
        <rFont val="メイリオ"/>
        <family val="3"/>
        <charset val="128"/>
      </rPr>
      <t>資産の部</t>
    </r>
    <rPh sb="0" eb="2">
      <t>シサン</t>
    </rPh>
    <rPh sb="3" eb="4">
      <t>ブ</t>
    </rPh>
    <phoneticPr fontId="17"/>
  </si>
  <si>
    <r>
      <rPr>
        <sz val="9.5"/>
        <rFont val="メイリオ"/>
        <family val="3"/>
        <charset val="128"/>
      </rPr>
      <t>資産合計　</t>
    </r>
    <r>
      <rPr>
        <sz val="9.5"/>
        <rFont val="Arial"/>
        <family val="2"/>
      </rPr>
      <t>Total Assets</t>
    </r>
  </si>
  <si>
    <r>
      <rPr>
        <b/>
        <sz val="9.5"/>
        <rFont val="メイリオ"/>
        <family val="3"/>
        <charset val="128"/>
      </rPr>
      <t>負債の部</t>
    </r>
    <rPh sb="0" eb="2">
      <t>フサイ</t>
    </rPh>
    <rPh sb="3" eb="4">
      <t>ブ</t>
    </rPh>
    <phoneticPr fontId="17"/>
  </si>
  <si>
    <r>
      <rPr>
        <sz val="9.5"/>
        <rFont val="メイリオ"/>
        <family val="3"/>
        <charset val="128"/>
      </rPr>
      <t>負債合計　</t>
    </r>
    <r>
      <rPr>
        <sz val="9.5"/>
        <rFont val="Arial"/>
        <family val="2"/>
      </rPr>
      <t>Total Liabilities</t>
    </r>
  </si>
  <si>
    <r>
      <rPr>
        <b/>
        <sz val="9.5"/>
        <rFont val="メイリオ"/>
        <family val="3"/>
        <charset val="128"/>
      </rPr>
      <t>純資産の部</t>
    </r>
    <rPh sb="0" eb="3">
      <t>ジュンシサン</t>
    </rPh>
    <rPh sb="4" eb="5">
      <t>ブ</t>
    </rPh>
    <phoneticPr fontId="17"/>
  </si>
  <si>
    <r>
      <rPr>
        <sz val="9.5"/>
        <rFont val="メイリオ"/>
        <family val="3"/>
        <charset val="128"/>
      </rPr>
      <t>純資産合計　</t>
    </r>
    <r>
      <rPr>
        <sz val="9.5"/>
        <rFont val="Arial"/>
        <family val="2"/>
      </rPr>
      <t>Total Net Assets</t>
    </r>
  </si>
  <si>
    <r>
      <rPr>
        <sz val="9.5"/>
        <rFont val="メイリオ"/>
        <family val="3"/>
        <charset val="128"/>
      </rPr>
      <t>負債・純資産合計　</t>
    </r>
    <r>
      <rPr>
        <sz val="9.5"/>
        <rFont val="Arial"/>
        <family val="2"/>
      </rPr>
      <t>Total Liabilities and Net Assets</t>
    </r>
    <rPh sb="0" eb="2">
      <t>フサイ</t>
    </rPh>
    <rPh sb="3" eb="4">
      <t>ジュン</t>
    </rPh>
    <phoneticPr fontId="17"/>
  </si>
  <si>
    <t>新車登録台数　No. of Registered New Vehicles</t>
    <rPh sb="0" eb="2">
      <t>シンシャ</t>
    </rPh>
    <rPh sb="2" eb="4">
      <t>トウロク</t>
    </rPh>
    <rPh sb="4" eb="6">
      <t>ダイスウ</t>
    </rPh>
    <phoneticPr fontId="17"/>
  </si>
  <si>
    <t>中古車登録台数　No. of Registered Used Vehicles</t>
    <rPh sb="0" eb="3">
      <t>チュウコシャ</t>
    </rPh>
    <rPh sb="3" eb="5">
      <t>トウロク</t>
    </rPh>
    <rPh sb="5" eb="7">
      <t>ダイスウ</t>
    </rPh>
    <phoneticPr fontId="17"/>
  </si>
  <si>
    <t>Site Name</t>
    <phoneticPr fontId="14"/>
  </si>
  <si>
    <t xml:space="preserve"> 会場名　</t>
    <phoneticPr fontId="14"/>
  </si>
  <si>
    <t>ＪＡＡ</t>
  </si>
  <si>
    <t>総合計</t>
    <rPh sb="0" eb="1">
      <t>フサ</t>
    </rPh>
    <rPh sb="1" eb="2">
      <t>ゴウ</t>
    </rPh>
    <rPh sb="2" eb="3">
      <t>ケイ</t>
    </rPh>
    <phoneticPr fontId="11"/>
  </si>
  <si>
    <t>Total</t>
    <phoneticPr fontId="14"/>
  </si>
  <si>
    <t>※低額車とは、年式が古く多走行の車をいいます。</t>
  </si>
  <si>
    <t>※JBAの実績は含めておりません。</t>
    <rPh sb="5" eb="7">
      <t>ジッセキ</t>
    </rPh>
    <rPh sb="8" eb="9">
      <t>フク</t>
    </rPh>
    <phoneticPr fontId="17"/>
  </si>
  <si>
    <r>
      <rPr>
        <sz val="10"/>
        <rFont val="メイリオ"/>
        <family val="3"/>
        <charset val="128"/>
      </rPr>
      <t>転記用</t>
    </r>
    <rPh sb="0" eb="2">
      <t>テンキ</t>
    </rPh>
    <rPh sb="2" eb="3">
      <t>ヨウ</t>
    </rPh>
    <phoneticPr fontId="14"/>
  </si>
  <si>
    <r>
      <rPr>
        <sz val="10"/>
        <rFont val="メイリオ"/>
        <family val="3"/>
        <charset val="128"/>
      </rPr>
      <t>開催数</t>
    </r>
    <rPh sb="0" eb="2">
      <t>カイサイ</t>
    </rPh>
    <rPh sb="2" eb="3">
      <t>スウ</t>
    </rPh>
    <phoneticPr fontId="14"/>
  </si>
  <si>
    <r>
      <rPr>
        <sz val="10"/>
        <rFont val="メイリオ"/>
        <family val="3"/>
        <charset val="128"/>
      </rPr>
      <t>出品</t>
    </r>
    <rPh sb="0" eb="2">
      <t>シュッピン</t>
    </rPh>
    <phoneticPr fontId="14"/>
  </si>
  <si>
    <r>
      <rPr>
        <sz val="10"/>
        <rFont val="メイリオ"/>
        <family val="3"/>
        <charset val="128"/>
      </rPr>
      <t>成約</t>
    </r>
    <rPh sb="0" eb="2">
      <t>セイヤク</t>
    </rPh>
    <phoneticPr fontId="14"/>
  </si>
  <si>
    <r>
      <rPr>
        <sz val="10"/>
        <rFont val="メイリオ"/>
        <family val="3"/>
        <charset val="128"/>
      </rPr>
      <t>順位</t>
    </r>
    <rPh sb="0" eb="2">
      <t>ジュンイ</t>
    </rPh>
    <phoneticPr fontId="14"/>
  </si>
  <si>
    <r>
      <rPr>
        <sz val="10"/>
        <rFont val="メイリオ"/>
        <family val="3"/>
        <charset val="128"/>
      </rPr>
      <t>会場名</t>
    </r>
    <rPh sb="0" eb="2">
      <t>カイジョウ</t>
    </rPh>
    <rPh sb="2" eb="3">
      <t>メイ</t>
    </rPh>
    <phoneticPr fontId="14"/>
  </si>
  <si>
    <r>
      <rPr>
        <sz val="10"/>
        <rFont val="メイリオ"/>
        <family val="3"/>
        <charset val="128"/>
      </rPr>
      <t>当期</t>
    </r>
    <rPh sb="0" eb="2">
      <t>トウキ</t>
    </rPh>
    <phoneticPr fontId="14"/>
  </si>
  <si>
    <r>
      <rPr>
        <sz val="10"/>
        <rFont val="メイリオ"/>
        <family val="3"/>
        <charset val="128"/>
      </rPr>
      <t>前期</t>
    </r>
    <rPh sb="0" eb="1">
      <t>ゼン</t>
    </rPh>
    <rPh sb="1" eb="2">
      <t>キ</t>
    </rPh>
    <phoneticPr fontId="14"/>
  </si>
  <si>
    <r>
      <rPr>
        <sz val="10"/>
        <rFont val="メイリオ"/>
        <family val="3"/>
        <charset val="128"/>
      </rPr>
      <t>東京</t>
    </r>
  </si>
  <si>
    <r>
      <rPr>
        <sz val="10"/>
        <rFont val="メイリオ"/>
        <family val="3"/>
        <charset val="128"/>
      </rPr>
      <t>名古屋</t>
    </r>
  </si>
  <si>
    <r>
      <rPr>
        <sz val="10"/>
        <rFont val="メイリオ"/>
        <family val="3"/>
        <charset val="128"/>
      </rPr>
      <t>大阪</t>
    </r>
  </si>
  <si>
    <r>
      <rPr>
        <sz val="10"/>
        <rFont val="メイリオ"/>
        <family val="3"/>
        <charset val="128"/>
      </rPr>
      <t>九州</t>
    </r>
  </si>
  <si>
    <r>
      <rPr>
        <sz val="10"/>
        <rFont val="メイリオ"/>
        <family val="3"/>
        <charset val="128"/>
      </rPr>
      <t>横浜</t>
    </r>
  </si>
  <si>
    <r>
      <rPr>
        <sz val="10"/>
        <rFont val="メイリオ"/>
        <family val="3"/>
        <charset val="128"/>
      </rPr>
      <t>札幌</t>
    </r>
  </si>
  <si>
    <r>
      <rPr>
        <sz val="10"/>
        <rFont val="メイリオ"/>
        <family val="3"/>
        <charset val="128"/>
      </rPr>
      <t>静岡</t>
    </r>
  </si>
  <si>
    <r>
      <rPr>
        <sz val="10"/>
        <rFont val="メイリオ"/>
        <family val="3"/>
        <charset val="128"/>
      </rPr>
      <t>神戸</t>
    </r>
  </si>
  <si>
    <r>
      <rPr>
        <sz val="10"/>
        <rFont val="メイリオ"/>
        <family val="3"/>
        <charset val="128"/>
      </rPr>
      <t>岡山</t>
    </r>
  </si>
  <si>
    <r>
      <rPr>
        <sz val="10"/>
        <rFont val="メイリオ"/>
        <family val="3"/>
        <charset val="128"/>
      </rPr>
      <t>群馬</t>
    </r>
  </si>
  <si>
    <r>
      <rPr>
        <sz val="10"/>
        <rFont val="メイリオ"/>
        <family val="3"/>
        <charset val="128"/>
      </rPr>
      <t>東北</t>
    </r>
  </si>
  <si>
    <r>
      <rPr>
        <sz val="10"/>
        <rFont val="メイリオ"/>
        <family val="3"/>
        <charset val="128"/>
      </rPr>
      <t>新潟</t>
    </r>
  </si>
  <si>
    <r>
      <rPr>
        <sz val="10"/>
        <rFont val="メイリオ"/>
        <family val="3"/>
        <charset val="128"/>
      </rPr>
      <t>埼玉</t>
    </r>
  </si>
  <si>
    <r>
      <rPr>
        <sz val="10"/>
        <rFont val="メイリオ"/>
        <family val="3"/>
        <charset val="128"/>
      </rPr>
      <t>福岡</t>
    </r>
  </si>
  <si>
    <r>
      <rPr>
        <sz val="10"/>
        <rFont val="メイリオ"/>
        <family val="3"/>
        <charset val="128"/>
      </rPr>
      <t>北陸</t>
    </r>
  </si>
  <si>
    <r>
      <rPr>
        <sz val="10"/>
        <rFont val="メイリオ"/>
        <family val="3"/>
        <charset val="128"/>
      </rPr>
      <t>ＨＡＡ神戸</t>
    </r>
    <rPh sb="3" eb="5">
      <t>コウベ</t>
    </rPh>
    <phoneticPr fontId="14"/>
  </si>
  <si>
    <r>
      <rPr>
        <sz val="10"/>
        <rFont val="メイリオ"/>
        <family val="3"/>
        <charset val="128"/>
      </rPr>
      <t>会場名マスタ</t>
    </r>
    <rPh sb="0" eb="2">
      <t>カイジョウ</t>
    </rPh>
    <rPh sb="2" eb="3">
      <t>メイ</t>
    </rPh>
    <phoneticPr fontId="14"/>
  </si>
  <si>
    <r>
      <rPr>
        <sz val="10"/>
        <rFont val="メイリオ"/>
        <family val="3"/>
        <charset val="128"/>
      </rPr>
      <t>注意事項</t>
    </r>
    <rPh sb="0" eb="2">
      <t>チュウイ</t>
    </rPh>
    <rPh sb="2" eb="4">
      <t>ジコウ</t>
    </rPh>
    <phoneticPr fontId="14"/>
  </si>
  <si>
    <r>
      <rPr>
        <sz val="10"/>
        <rFont val="メイリオ"/>
        <family val="3"/>
        <charset val="128"/>
      </rPr>
      <t>ＪＡＡ</t>
    </r>
    <phoneticPr fontId="14"/>
  </si>
  <si>
    <r>
      <rPr>
        <sz val="10"/>
        <rFont val="メイリオ"/>
        <family val="3"/>
        <charset val="128"/>
      </rPr>
      <t>※参照資料：</t>
    </r>
    <rPh sb="1" eb="3">
      <t>サンショウ</t>
    </rPh>
    <rPh sb="3" eb="5">
      <t>シリョウ</t>
    </rPh>
    <phoneticPr fontId="14"/>
  </si>
  <si>
    <r>
      <rPr>
        <sz val="10"/>
        <rFont val="メイリオ"/>
        <family val="3"/>
        <charset val="128"/>
      </rPr>
      <t>※低額車　参照資料：</t>
    </r>
    <rPh sb="1" eb="3">
      <t>テイガク</t>
    </rPh>
    <rPh sb="3" eb="4">
      <t>シャ</t>
    </rPh>
    <rPh sb="5" eb="7">
      <t>サンショウ</t>
    </rPh>
    <rPh sb="7" eb="9">
      <t>シリョウ</t>
    </rPh>
    <phoneticPr fontId="14"/>
  </si>
  <si>
    <r>
      <rPr>
        <b/>
        <sz val="10"/>
        <rFont val="メイリオ"/>
        <family val="3"/>
        <charset val="128"/>
      </rPr>
      <t>※最終的に決算説明資料の並び順にあわせるので注意すること</t>
    </r>
    <rPh sb="1" eb="4">
      <t>サイシュウテキ</t>
    </rPh>
    <rPh sb="5" eb="7">
      <t>ケッサン</t>
    </rPh>
    <rPh sb="7" eb="9">
      <t>セツメイ</t>
    </rPh>
    <rPh sb="9" eb="11">
      <t>シリョウ</t>
    </rPh>
    <rPh sb="12" eb="13">
      <t>ナラ</t>
    </rPh>
    <rPh sb="14" eb="15">
      <t>ジュン</t>
    </rPh>
    <rPh sb="22" eb="24">
      <t>チュウイ</t>
    </rPh>
    <phoneticPr fontId="14"/>
  </si>
  <si>
    <r>
      <rPr>
        <sz val="10"/>
        <rFont val="メイリオ"/>
        <family val="3"/>
        <charset val="128"/>
      </rPr>
      <t>出品（四国合算</t>
    </r>
    <r>
      <rPr>
        <sz val="10"/>
        <rFont val="Arial"/>
        <family val="2"/>
      </rPr>
      <t>)</t>
    </r>
    <rPh sb="0" eb="2">
      <t>シュッピン</t>
    </rPh>
    <rPh sb="3" eb="5">
      <t>シコク</t>
    </rPh>
    <rPh sb="5" eb="7">
      <t>ガッサン</t>
    </rPh>
    <phoneticPr fontId="14"/>
  </si>
  <si>
    <r>
      <rPr>
        <sz val="10"/>
        <rFont val="メイリオ"/>
        <family val="3"/>
        <charset val="128"/>
      </rPr>
      <t>成約</t>
    </r>
    <r>
      <rPr>
        <sz val="10"/>
        <rFont val="Arial"/>
        <family val="2"/>
      </rPr>
      <t>(</t>
    </r>
    <r>
      <rPr>
        <sz val="10"/>
        <rFont val="メイリオ"/>
        <family val="3"/>
        <charset val="128"/>
      </rPr>
      <t>四国合算</t>
    </r>
    <r>
      <rPr>
        <sz val="10"/>
        <rFont val="Arial"/>
        <family val="2"/>
      </rPr>
      <t>)</t>
    </r>
    <rPh sb="0" eb="2">
      <t>セイヤク</t>
    </rPh>
    <rPh sb="3" eb="5">
      <t>シコク</t>
    </rPh>
    <rPh sb="5" eb="7">
      <t>ガッサン</t>
    </rPh>
    <phoneticPr fontId="14"/>
  </si>
  <si>
    <r>
      <rPr>
        <sz val="10"/>
        <rFont val="メイリオ"/>
        <family val="3"/>
        <charset val="128"/>
      </rPr>
      <t>●当年度の出品台数が多い順に並び替える（</t>
    </r>
    <r>
      <rPr>
        <sz val="10"/>
        <rFont val="Arial"/>
        <family val="2"/>
      </rPr>
      <t>JAA</t>
    </r>
    <r>
      <rPr>
        <sz val="10"/>
        <rFont val="メイリオ"/>
        <family val="3"/>
        <charset val="128"/>
      </rPr>
      <t>、</t>
    </r>
    <r>
      <rPr>
        <sz val="10"/>
        <rFont val="Arial"/>
        <family val="2"/>
      </rPr>
      <t>HAA</t>
    </r>
    <r>
      <rPr>
        <sz val="10"/>
        <rFont val="メイリオ"/>
        <family val="3"/>
        <charset val="128"/>
      </rPr>
      <t>神戸は一番下で固定、ただし子会社ではなく</t>
    </r>
    <r>
      <rPr>
        <sz val="10"/>
        <rFont val="Arial"/>
        <family val="2"/>
      </rPr>
      <t>1</t>
    </r>
    <r>
      <rPr>
        <sz val="10"/>
        <rFont val="メイリオ"/>
        <family val="3"/>
        <charset val="128"/>
      </rPr>
      <t>つの会場になったら多い順に入れる）</t>
    </r>
    <rPh sb="1" eb="2">
      <t>トウ</t>
    </rPh>
    <rPh sb="27" eb="29">
      <t>コウベ</t>
    </rPh>
    <rPh sb="30" eb="33">
      <t>イチバンシタ</t>
    </rPh>
    <rPh sb="34" eb="36">
      <t>コテイ</t>
    </rPh>
    <rPh sb="40" eb="43">
      <t>コガイシャ</t>
    </rPh>
    <rPh sb="50" eb="52">
      <t>カイジョウ</t>
    </rPh>
    <rPh sb="57" eb="58">
      <t>オオ</t>
    </rPh>
    <rPh sb="59" eb="60">
      <t>ジュン</t>
    </rPh>
    <rPh sb="61" eb="62">
      <t>イ</t>
    </rPh>
    <phoneticPr fontId="14"/>
  </si>
  <si>
    <r>
      <rPr>
        <sz val="10"/>
        <rFont val="メイリオ"/>
        <family val="3"/>
        <charset val="128"/>
      </rPr>
      <t>●四国は</t>
    </r>
    <r>
      <rPr>
        <sz val="10"/>
        <rFont val="Arial"/>
        <family val="2"/>
      </rPr>
      <t>2019.12</t>
    </r>
    <r>
      <rPr>
        <sz val="10"/>
        <rFont val="メイリオ"/>
        <family val="3"/>
        <charset val="128"/>
      </rPr>
      <t>までは岡山に含め、</t>
    </r>
    <r>
      <rPr>
        <sz val="10"/>
        <rFont val="Arial"/>
        <family val="2"/>
      </rPr>
      <t>2020.1</t>
    </r>
    <r>
      <rPr>
        <sz val="10"/>
        <rFont val="メイリオ"/>
        <family val="3"/>
        <charset val="128"/>
      </rPr>
      <t>以降は</t>
    </r>
    <r>
      <rPr>
        <sz val="10"/>
        <rFont val="Arial"/>
        <family val="2"/>
      </rPr>
      <t>HAA</t>
    </r>
    <r>
      <rPr>
        <sz val="10"/>
        <rFont val="メイリオ"/>
        <family val="3"/>
        <charset val="128"/>
      </rPr>
      <t>神戸に含まれる。←</t>
    </r>
    <r>
      <rPr>
        <sz val="10"/>
        <rFont val="Arial"/>
        <family val="2"/>
      </rPr>
      <t>2022.3</t>
    </r>
    <r>
      <rPr>
        <sz val="10"/>
        <rFont val="メイリオ"/>
        <family val="3"/>
        <charset val="128"/>
      </rPr>
      <t>期メモ削除</t>
    </r>
    <rPh sb="1" eb="3">
      <t>シコク</t>
    </rPh>
    <rPh sb="14" eb="16">
      <t>オカヤマ</t>
    </rPh>
    <rPh sb="17" eb="18">
      <t>フク</t>
    </rPh>
    <rPh sb="26" eb="28">
      <t>イコウ</t>
    </rPh>
    <rPh sb="32" eb="34">
      <t>コウベ</t>
    </rPh>
    <rPh sb="35" eb="36">
      <t>フク</t>
    </rPh>
    <rPh sb="47" eb="48">
      <t>キ</t>
    </rPh>
    <rPh sb="50" eb="52">
      <t>サクジョ</t>
    </rPh>
    <phoneticPr fontId="14"/>
  </si>
  <si>
    <r>
      <rPr>
        <sz val="10"/>
        <rFont val="メイリオ"/>
        <family val="3"/>
        <charset val="128"/>
      </rPr>
      <t>●四国の接続が岡山会場から</t>
    </r>
    <r>
      <rPr>
        <sz val="10"/>
        <rFont val="Arial"/>
        <family val="2"/>
      </rPr>
      <t>HAA</t>
    </r>
    <r>
      <rPr>
        <sz val="10"/>
        <rFont val="メイリオ"/>
        <family val="3"/>
        <charset val="128"/>
      </rPr>
      <t>へ変更した旨のｺﾒﾝﾄ「※四国会場の実績は</t>
    </r>
    <r>
      <rPr>
        <sz val="10"/>
        <rFont val="Arial"/>
        <family val="2"/>
      </rPr>
      <t>2019</t>
    </r>
    <r>
      <rPr>
        <sz val="10"/>
        <rFont val="メイリオ"/>
        <family val="3"/>
        <charset val="128"/>
      </rPr>
      <t>年</t>
    </r>
    <r>
      <rPr>
        <sz val="10"/>
        <rFont val="Arial"/>
        <family val="2"/>
      </rPr>
      <t>12</t>
    </r>
    <r>
      <rPr>
        <sz val="10"/>
        <rFont val="メイリオ"/>
        <family val="3"/>
        <charset val="128"/>
      </rPr>
      <t>月までは岡山会場、</t>
    </r>
    <r>
      <rPr>
        <sz val="10"/>
        <rFont val="Arial"/>
        <family val="2"/>
      </rPr>
      <t>2020</t>
    </r>
    <r>
      <rPr>
        <sz val="10"/>
        <rFont val="メイリオ"/>
        <family val="3"/>
        <charset val="128"/>
      </rPr>
      <t>年１月以降は</t>
    </r>
    <r>
      <rPr>
        <sz val="10"/>
        <rFont val="Arial"/>
        <family val="2"/>
      </rPr>
      <t>HAA</t>
    </r>
    <r>
      <rPr>
        <sz val="10"/>
        <rFont val="メイリオ"/>
        <family val="3"/>
        <charset val="128"/>
      </rPr>
      <t>神戸に含めております。」は</t>
    </r>
    <r>
      <rPr>
        <sz val="10"/>
        <rFont val="Arial"/>
        <family val="2"/>
      </rPr>
      <t>2020.3</t>
    </r>
    <r>
      <rPr>
        <sz val="10"/>
        <rFont val="メイリオ"/>
        <family val="3"/>
        <charset val="128"/>
      </rPr>
      <t>期の記載がなくなる</t>
    </r>
    <r>
      <rPr>
        <sz val="10"/>
        <color rgb="FFFF0000"/>
        <rFont val="Arial"/>
        <family val="2"/>
      </rPr>
      <t>2022.3</t>
    </r>
    <r>
      <rPr>
        <sz val="10"/>
        <color rgb="FFFF0000"/>
        <rFont val="メイリオ"/>
        <family val="3"/>
        <charset val="128"/>
      </rPr>
      <t>期</t>
    </r>
    <r>
      <rPr>
        <sz val="10"/>
        <rFont val="メイリオ"/>
        <family val="3"/>
        <charset val="128"/>
      </rPr>
      <t>作成時にコメント削除。</t>
    </r>
    <rPh sb="1" eb="3">
      <t>シコク</t>
    </rPh>
    <rPh sb="4" eb="6">
      <t>セツゾク</t>
    </rPh>
    <rPh sb="7" eb="9">
      <t>オカヤマ</t>
    </rPh>
    <rPh sb="9" eb="11">
      <t>カイジョウ</t>
    </rPh>
    <rPh sb="17" eb="19">
      <t>ヘンコウ</t>
    </rPh>
    <rPh sb="21" eb="22">
      <t>ムネ</t>
    </rPh>
    <phoneticPr fontId="14"/>
  </si>
  <si>
    <r>
      <rPr>
        <sz val="10"/>
        <rFont val="メイリオ"/>
        <family val="3"/>
        <charset val="128"/>
      </rPr>
      <t>●</t>
    </r>
    <r>
      <rPr>
        <sz val="10"/>
        <rFont val="Arial"/>
        <family val="2"/>
      </rPr>
      <t>2020.3</t>
    </r>
    <r>
      <rPr>
        <sz val="10"/>
        <rFont val="メイリオ"/>
        <family val="3"/>
        <charset val="128"/>
      </rPr>
      <t>期作成時に　</t>
    </r>
    <r>
      <rPr>
        <sz val="10"/>
        <rFont val="Arial"/>
        <family val="2"/>
      </rPr>
      <t>"</t>
    </r>
    <r>
      <rPr>
        <sz val="10"/>
        <rFont val="メイリオ"/>
        <family val="3"/>
        <charset val="128"/>
      </rPr>
      <t>低額車</t>
    </r>
    <r>
      <rPr>
        <sz val="10"/>
        <rFont val="Arial"/>
        <family val="2"/>
      </rPr>
      <t>"</t>
    </r>
    <r>
      <rPr>
        <sz val="10"/>
        <rFont val="メイリオ"/>
        <family val="3"/>
        <charset val="128"/>
      </rPr>
      <t>の英語（</t>
    </r>
    <r>
      <rPr>
        <sz val="10"/>
        <rFont val="Arial"/>
        <family val="2"/>
      </rPr>
      <t>Reusable Vehicle</t>
    </r>
    <r>
      <rPr>
        <sz val="10"/>
        <rFont val="メイリオ"/>
        <family val="3"/>
        <charset val="128"/>
      </rPr>
      <t>）を決算説明資料に合わせて（</t>
    </r>
    <r>
      <rPr>
        <sz val="10"/>
        <color rgb="FFFF0000"/>
        <rFont val="Arial"/>
        <family val="2"/>
      </rPr>
      <t>Lower-priced vehicles</t>
    </r>
    <r>
      <rPr>
        <sz val="10"/>
        <rFont val="メイリオ"/>
        <family val="3"/>
        <charset val="128"/>
      </rPr>
      <t>）へ変更</t>
    </r>
    <rPh sb="7" eb="8">
      <t>キ</t>
    </rPh>
    <rPh sb="8" eb="10">
      <t>サクセイ</t>
    </rPh>
    <rPh sb="10" eb="11">
      <t>ジ</t>
    </rPh>
    <rPh sb="14" eb="16">
      <t>テイガク</t>
    </rPh>
    <rPh sb="16" eb="17">
      <t>シャ</t>
    </rPh>
    <rPh sb="19" eb="21">
      <t>エイゴ</t>
    </rPh>
    <rPh sb="40" eb="42">
      <t>ケッサン</t>
    </rPh>
    <rPh sb="42" eb="44">
      <t>セツメイ</t>
    </rPh>
    <rPh sb="44" eb="46">
      <t>シリョウ</t>
    </rPh>
    <rPh sb="47" eb="48">
      <t>ア</t>
    </rPh>
    <rPh sb="75" eb="77">
      <t>ヘンコウ</t>
    </rPh>
    <phoneticPr fontId="14"/>
  </si>
  <si>
    <r>
      <t>\\10.51.3.13\</t>
    </r>
    <r>
      <rPr>
        <u/>
        <sz val="10"/>
        <color indexed="12"/>
        <rFont val="メイリオ"/>
        <family val="3"/>
        <charset val="128"/>
      </rPr>
      <t>財務部</t>
    </r>
    <r>
      <rPr>
        <u/>
        <sz val="10"/>
        <color indexed="12"/>
        <rFont val="Arial"/>
        <family val="2"/>
      </rPr>
      <t>\10_</t>
    </r>
    <r>
      <rPr>
        <u/>
        <sz val="10"/>
        <color indexed="12"/>
        <rFont val="メイリオ"/>
        <family val="3"/>
        <charset val="128"/>
      </rPr>
      <t>担当業務</t>
    </r>
    <r>
      <rPr>
        <u/>
        <sz val="10"/>
        <color indexed="12"/>
        <rFont val="Arial"/>
        <family val="2"/>
      </rPr>
      <t>\10_</t>
    </r>
    <r>
      <rPr>
        <u/>
        <sz val="10"/>
        <color indexed="12"/>
        <rFont val="メイリオ"/>
        <family val="3"/>
        <charset val="128"/>
      </rPr>
      <t>日次</t>
    </r>
    <r>
      <rPr>
        <u/>
        <sz val="10"/>
        <color indexed="12"/>
        <rFont val="Arial"/>
        <family val="2"/>
      </rPr>
      <t>\</t>
    </r>
    <r>
      <rPr>
        <u/>
        <sz val="10"/>
        <color indexed="12"/>
        <rFont val="メイリオ"/>
        <family val="3"/>
        <charset val="128"/>
      </rPr>
      <t>ＡＡ実績</t>
    </r>
    <r>
      <rPr>
        <u/>
        <sz val="10"/>
        <color indexed="12"/>
        <rFont val="Arial"/>
        <family val="2"/>
      </rPr>
      <t>\22.3</t>
    </r>
    <r>
      <rPr>
        <u/>
        <sz val="10"/>
        <color indexed="12"/>
        <rFont val="メイリオ"/>
        <family val="3"/>
        <charset val="128"/>
      </rPr>
      <t>期</t>
    </r>
    <r>
      <rPr>
        <u/>
        <sz val="10"/>
        <color indexed="12"/>
        <rFont val="Arial"/>
        <family val="2"/>
      </rPr>
      <t>(2021</t>
    </r>
    <r>
      <rPr>
        <u/>
        <sz val="10"/>
        <color indexed="12"/>
        <rFont val="メイリオ"/>
        <family val="3"/>
        <charset val="128"/>
      </rPr>
      <t>年</t>
    </r>
    <r>
      <rPr>
        <u/>
        <sz val="10"/>
        <color indexed="12"/>
        <rFont val="Arial"/>
        <family val="2"/>
      </rPr>
      <t>4</t>
    </r>
    <r>
      <rPr>
        <u/>
        <sz val="10"/>
        <color indexed="12"/>
        <rFont val="メイリオ"/>
        <family val="3"/>
        <charset val="128"/>
      </rPr>
      <t>月～</t>
    </r>
    <r>
      <rPr>
        <u/>
        <sz val="10"/>
        <color indexed="12"/>
        <rFont val="Arial"/>
        <family val="2"/>
      </rPr>
      <t>2022</t>
    </r>
    <r>
      <rPr>
        <u/>
        <sz val="10"/>
        <color indexed="12"/>
        <rFont val="メイリオ"/>
        <family val="3"/>
        <charset val="128"/>
      </rPr>
      <t>年</t>
    </r>
    <r>
      <rPr>
        <u/>
        <sz val="10"/>
        <color indexed="12"/>
        <rFont val="Arial"/>
        <family val="2"/>
      </rPr>
      <t>3</t>
    </r>
    <r>
      <rPr>
        <u/>
        <sz val="10"/>
        <color indexed="12"/>
        <rFont val="メイリオ"/>
        <family val="3"/>
        <charset val="128"/>
      </rPr>
      <t>月</t>
    </r>
    <r>
      <rPr>
        <u/>
        <sz val="10"/>
        <color indexed="12"/>
        <rFont val="Arial"/>
        <family val="2"/>
      </rPr>
      <t>)\10_</t>
    </r>
    <r>
      <rPr>
        <u/>
        <sz val="10"/>
        <color indexed="12"/>
        <rFont val="メイリオ"/>
        <family val="3"/>
        <charset val="128"/>
      </rPr>
      <t>会場別実績表</t>
    </r>
    <r>
      <rPr>
        <u/>
        <sz val="10"/>
        <color indexed="12"/>
        <rFont val="Arial"/>
        <family val="2"/>
      </rPr>
      <t>\2_</t>
    </r>
    <r>
      <rPr>
        <u/>
        <sz val="10"/>
        <color indexed="12"/>
        <rFont val="メイリオ"/>
        <family val="3"/>
        <charset val="128"/>
      </rPr>
      <t>実績表確定データ</t>
    </r>
    <phoneticPr fontId="14"/>
  </si>
  <si>
    <r>
      <rPr>
        <sz val="10"/>
        <rFont val="メイリオ"/>
        <family val="3"/>
        <charset val="128"/>
      </rPr>
      <t>●実績表</t>
    </r>
    <r>
      <rPr>
        <sz val="10"/>
        <rFont val="Arial"/>
        <family val="2"/>
      </rPr>
      <t>2104-2203(</t>
    </r>
    <r>
      <rPr>
        <sz val="10"/>
        <rFont val="メイリオ"/>
        <family val="3"/>
        <charset val="128"/>
      </rPr>
      <t>社内予算</t>
    </r>
    <r>
      <rPr>
        <sz val="10"/>
        <rFont val="Arial"/>
        <family val="2"/>
      </rPr>
      <t>).xlsm</t>
    </r>
    <phoneticPr fontId="14"/>
  </si>
  <si>
    <r>
      <rPr>
        <sz val="10"/>
        <rFont val="メイリオ"/>
        <family val="3"/>
        <charset val="128"/>
      </rPr>
      <t>●</t>
    </r>
    <r>
      <rPr>
        <sz val="10"/>
        <rFont val="Arial"/>
        <family val="2"/>
      </rPr>
      <t>F2100US_</t>
    </r>
    <r>
      <rPr>
        <sz val="10"/>
        <rFont val="メイリオ"/>
        <family val="3"/>
        <charset val="128"/>
      </rPr>
      <t>〇〇</t>
    </r>
    <r>
      <rPr>
        <sz val="10"/>
        <rFont val="Arial"/>
        <family val="2"/>
      </rPr>
      <t>03</t>
    </r>
    <r>
      <rPr>
        <sz val="10"/>
        <rFont val="メイリオ"/>
        <family val="3"/>
        <charset val="128"/>
      </rPr>
      <t>実績表</t>
    </r>
    <r>
      <rPr>
        <sz val="10"/>
        <rFont val="Arial"/>
        <family val="2"/>
      </rPr>
      <t>.xls</t>
    </r>
    <phoneticPr fontId="14"/>
  </si>
  <si>
    <r>
      <rPr>
        <sz val="8"/>
        <rFont val="メイリオ"/>
        <family val="3"/>
        <charset val="128"/>
      </rPr>
      <t xml:space="preserve">総合計のうち低額車取扱台数
</t>
    </r>
    <r>
      <rPr>
        <sz val="8"/>
        <rFont val="Arial"/>
        <family val="2"/>
      </rPr>
      <t>Lower-priced vehicles Auction Data</t>
    </r>
    <rPh sb="0" eb="1">
      <t>ソウ</t>
    </rPh>
    <rPh sb="1" eb="3">
      <t>ゴウケイ</t>
    </rPh>
    <rPh sb="6" eb="8">
      <t>テイガク</t>
    </rPh>
    <rPh sb="8" eb="9">
      <t>シャ</t>
    </rPh>
    <rPh sb="9" eb="11">
      <t>トリアツカイ</t>
    </rPh>
    <rPh sb="11" eb="13">
      <t>ダイスウ</t>
    </rPh>
    <phoneticPr fontId="14"/>
  </si>
  <si>
    <t>＜１台当たりの手数料＞　※1台当りの手数料は連結相殺前の数値をもとに算出しております。</t>
    <rPh sb="2" eb="3">
      <t>ダイ</t>
    </rPh>
    <rPh sb="3" eb="4">
      <t>ア</t>
    </rPh>
    <rPh sb="7" eb="10">
      <t>テスウリョウ</t>
    </rPh>
    <phoneticPr fontId="17"/>
  </si>
  <si>
    <t>（単位：円、％）</t>
    <phoneticPr fontId="18"/>
  </si>
  <si>
    <t>出品手数料</t>
    <rPh sb="0" eb="2">
      <t>シュッピン</t>
    </rPh>
    <rPh sb="2" eb="5">
      <t>テスウリョウ</t>
    </rPh>
    <phoneticPr fontId="17"/>
  </si>
  <si>
    <t>成約手数料</t>
    <rPh sb="0" eb="2">
      <t>セイヤク</t>
    </rPh>
    <rPh sb="2" eb="5">
      <t>テスウリョウ</t>
    </rPh>
    <phoneticPr fontId="17"/>
  </si>
  <si>
    <t>落札手数料</t>
    <rPh sb="0" eb="2">
      <t>ラクサツ</t>
    </rPh>
    <rPh sb="2" eb="5">
      <t>テスウリョウ</t>
    </rPh>
    <phoneticPr fontId="17"/>
  </si>
  <si>
    <t>2022.3</t>
  </si>
  <si>
    <t>ＵＳＳ</t>
  </si>
  <si>
    <t>ＴＡＡ</t>
  </si>
  <si>
    <t>ＭＩＲＩＶＥ</t>
  </si>
  <si>
    <t>ＣＡＡ</t>
  </si>
  <si>
    <t>アライAA
AraiAA</t>
  </si>
  <si>
    <t>ＪＵ岐阜
JU Gifu</t>
  </si>
  <si>
    <t xml:space="preserve"> TAA</t>
    <phoneticPr fontId="29"/>
  </si>
  <si>
    <t>　■2021年の企業系については、2021年発表日と2017年発表時で出品台数が異なっているが、最新である2022年発表日のデータに変更する。</t>
    <rPh sb="6" eb="7">
      <t>ネン</t>
    </rPh>
    <rPh sb="8" eb="11">
      <t>キギョウケイ</t>
    </rPh>
    <rPh sb="21" eb="22">
      <t>ネン</t>
    </rPh>
    <rPh sb="22" eb="25">
      <t>ハッピョウビ</t>
    </rPh>
    <rPh sb="30" eb="31">
      <t>ネン</t>
    </rPh>
    <rPh sb="31" eb="34">
      <t>ハッピョウジ</t>
    </rPh>
    <rPh sb="35" eb="39">
      <t>シュッピンダイスウ</t>
    </rPh>
    <rPh sb="40" eb="41">
      <t>コト</t>
    </rPh>
    <rPh sb="48" eb="50">
      <t>サイシン</t>
    </rPh>
    <rPh sb="57" eb="58">
      <t>ネン</t>
    </rPh>
    <rPh sb="58" eb="61">
      <t>ハッピョウビ</t>
    </rPh>
    <rPh sb="66" eb="68">
      <t>ヘンコウ</t>
    </rPh>
    <phoneticPr fontId="17"/>
  </si>
  <si>
    <t>　　内容：KCCA南九州およびKCCA福岡の2021年5月～2022年3月の実績が未公表だったため2021年発表時点で含まれていなかったが、2022年発表時に</t>
    <rPh sb="2" eb="4">
      <t>ナイヨウ</t>
    </rPh>
    <rPh sb="9" eb="12">
      <t>ミナミキュウシュウ</t>
    </rPh>
    <rPh sb="19" eb="21">
      <t>フクオカ</t>
    </rPh>
    <rPh sb="26" eb="27">
      <t>ネン</t>
    </rPh>
    <rPh sb="28" eb="29">
      <t>ガツ</t>
    </rPh>
    <rPh sb="34" eb="35">
      <t>ネン</t>
    </rPh>
    <rPh sb="36" eb="37">
      <t>ガツ</t>
    </rPh>
    <rPh sb="38" eb="40">
      <t>ジッセキ</t>
    </rPh>
    <rPh sb="41" eb="44">
      <t>ミコウヒョウ</t>
    </rPh>
    <rPh sb="53" eb="58">
      <t>ネンハッピョウジテン</t>
    </rPh>
    <rPh sb="59" eb="60">
      <t>フク</t>
    </rPh>
    <rPh sb="74" eb="75">
      <t>ネン</t>
    </rPh>
    <rPh sb="75" eb="78">
      <t>ハッピョウジ</t>
    </rPh>
    <phoneticPr fontId="17"/>
  </si>
  <si>
    <t>　　　　　公表された実績に基づいてユーストカーが遡及修正して公表した。</t>
    <rPh sb="5" eb="7">
      <t>コウヒョウ</t>
    </rPh>
    <rPh sb="10" eb="12">
      <t>ジッセキ</t>
    </rPh>
    <rPh sb="13" eb="14">
      <t>モト</t>
    </rPh>
    <rPh sb="24" eb="28">
      <t>ソキュウシュウセイ</t>
    </rPh>
    <rPh sb="30" eb="32">
      <t>コウヒョウ</t>
    </rPh>
    <phoneticPr fontId="17"/>
  </si>
  <si>
    <t>修正台数</t>
    <rPh sb="0" eb="4">
      <t>シュウセイダイスウ</t>
    </rPh>
    <phoneticPr fontId="17"/>
  </si>
  <si>
    <t>変更前</t>
    <rPh sb="0" eb="3">
      <t>ヘンコウマエ</t>
    </rPh>
    <phoneticPr fontId="17"/>
  </si>
  <si>
    <t>変更後</t>
    <rPh sb="0" eb="3">
      <t>ヘンコウゴ</t>
    </rPh>
    <phoneticPr fontId="17"/>
  </si>
  <si>
    <t>差分台数</t>
    <rPh sb="0" eb="4">
      <t>サブンダイスウ</t>
    </rPh>
    <phoneticPr fontId="17"/>
  </si>
  <si>
    <t>企業系(合計)</t>
    <rPh sb="0" eb="3">
      <t>キギョウケイ</t>
    </rPh>
    <rPh sb="4" eb="6">
      <t>ゴウケイ</t>
    </rPh>
    <phoneticPr fontId="17"/>
  </si>
  <si>
    <t>KCCA南九州</t>
    <rPh sb="4" eb="7">
      <t>ミナミキュウシュウ</t>
    </rPh>
    <phoneticPr fontId="17"/>
  </si>
  <si>
    <t>KCCA福岡</t>
    <rPh sb="4" eb="6">
      <t>フクオカ</t>
    </rPh>
    <phoneticPr fontId="17"/>
  </si>
  <si>
    <t>総合計</t>
    <rPh sb="0" eb="3">
      <t>ソウゴウケイ</t>
    </rPh>
    <phoneticPr fontId="17"/>
  </si>
  <si>
    <t>地域別ＡＡ実績(月別22暦年)修正版Ver1.0.6.xlsm</t>
    <phoneticPr fontId="17"/>
  </si>
  <si>
    <r>
      <t>KCAA</t>
    </r>
    <r>
      <rPr>
        <sz val="8"/>
        <rFont val="メイリオ"/>
        <family val="3"/>
        <charset val="128"/>
      </rPr>
      <t>福岡　KCAA</t>
    </r>
    <r>
      <rPr>
        <sz val="8"/>
        <rFont val="Arial"/>
        <family val="2"/>
      </rPr>
      <t xml:space="preserve"> Fukuoka</t>
    </r>
    <rPh sb="4" eb="6">
      <t>フクオカ</t>
    </rPh>
    <phoneticPr fontId="29"/>
  </si>
  <si>
    <t>東京</t>
  </si>
  <si>
    <t>名古屋</t>
  </si>
  <si>
    <t>九州</t>
  </si>
  <si>
    <t>大阪</t>
  </si>
  <si>
    <t>横浜</t>
  </si>
  <si>
    <t>札幌</t>
  </si>
  <si>
    <t>静岡</t>
  </si>
  <si>
    <t>神戸</t>
  </si>
  <si>
    <t>岡山</t>
  </si>
  <si>
    <t>東北</t>
  </si>
  <si>
    <t>群馬</t>
  </si>
  <si>
    <t>新潟</t>
  </si>
  <si>
    <t>埼玉</t>
  </si>
  <si>
    <t>福岡</t>
  </si>
  <si>
    <t>北陸</t>
  </si>
  <si>
    <t>四国</t>
  </si>
  <si>
    <r>
      <t>(</t>
    </r>
    <r>
      <rPr>
        <sz val="6"/>
        <rFont val="メイリオ"/>
        <family val="3"/>
        <charset val="128"/>
      </rPr>
      <t>出所：</t>
    </r>
    <r>
      <rPr>
        <sz val="6"/>
        <rFont val="Arial"/>
        <family val="2"/>
      </rPr>
      <t>(</t>
    </r>
    <r>
      <rPr>
        <sz val="6"/>
        <rFont val="メイリオ"/>
        <family val="3"/>
        <charset val="128"/>
      </rPr>
      <t>株</t>
    </r>
    <r>
      <rPr>
        <sz val="6"/>
        <rFont val="Arial"/>
        <family val="2"/>
      </rPr>
      <t>)</t>
    </r>
    <r>
      <rPr>
        <sz val="6"/>
        <rFont val="メイリオ"/>
        <family val="3"/>
        <charset val="128"/>
      </rPr>
      <t>ユーストカー</t>
    </r>
    <r>
      <rPr>
        <sz val="6"/>
        <rFont val="Arial"/>
        <family val="2"/>
      </rPr>
      <t>)</t>
    </r>
    <r>
      <rPr>
        <sz val="6"/>
        <rFont val="メイリオ"/>
        <family val="3"/>
        <charset val="128"/>
      </rPr>
      <t>　</t>
    </r>
    <r>
      <rPr>
        <sz val="6"/>
        <rFont val="Arial"/>
        <family val="2"/>
      </rPr>
      <t>(Source: USEDCAR Co., Ltd.)</t>
    </r>
    <rPh sb="1" eb="3">
      <t>シュッショ</t>
    </rPh>
    <rPh sb="5" eb="6">
      <t>カブ</t>
    </rPh>
    <phoneticPr fontId="17"/>
  </si>
  <si>
    <r>
      <rPr>
        <sz val="6"/>
        <color theme="0"/>
        <rFont val="メイリオ"/>
        <family val="3"/>
        <charset val="128"/>
      </rPr>
      <t xml:space="preserve">増減率
</t>
    </r>
    <r>
      <rPr>
        <sz val="6"/>
        <color theme="0"/>
        <rFont val="Arial"/>
        <family val="2"/>
      </rPr>
      <t>YoY Changes</t>
    </r>
    <phoneticPr fontId="15"/>
  </si>
  <si>
    <r>
      <rPr>
        <sz val="10"/>
        <rFont val="ＭＳ Ｐゴシック"/>
        <family val="3"/>
        <charset val="128"/>
      </rPr>
      <t xml:space="preserve">落札手数料
</t>
    </r>
    <r>
      <rPr>
        <sz val="10"/>
        <rFont val="Arial"/>
        <family val="2"/>
      </rPr>
      <t>Successful Bid Fees</t>
    </r>
    <rPh sb="0" eb="2">
      <t>ラクサツ</t>
    </rPh>
    <rPh sb="2" eb="5">
      <t>テスウリョウ</t>
    </rPh>
    <phoneticPr fontId="17"/>
  </si>
  <si>
    <r>
      <rPr>
        <sz val="6"/>
        <rFont val="メイリオ"/>
        <family val="3"/>
        <charset val="128"/>
      </rPr>
      <t>※</t>
    </r>
    <r>
      <rPr>
        <sz val="6"/>
        <rFont val="Arial"/>
        <family val="2"/>
      </rPr>
      <t>2015.3</t>
    </r>
    <r>
      <rPr>
        <sz val="6"/>
        <rFont val="メイリオ"/>
        <family val="3"/>
        <charset val="128"/>
      </rPr>
      <t>期までの少数株主利益は、非支配株主に帰属する当期純利益として表示しております。</t>
    </r>
    <phoneticPr fontId="17"/>
  </si>
  <si>
    <r>
      <t>※</t>
    </r>
    <r>
      <rPr>
        <sz val="6"/>
        <rFont val="Arial"/>
        <family val="2"/>
      </rPr>
      <t>2015.3</t>
    </r>
    <r>
      <rPr>
        <sz val="6"/>
        <rFont val="メイリオ"/>
        <family val="3"/>
        <charset val="128"/>
        <scheme val="minor"/>
      </rPr>
      <t>期までの当期純利益は、親会社株主に帰属する当期純利益として表示しております。</t>
    </r>
    <phoneticPr fontId="18"/>
  </si>
  <si>
    <r>
      <t xml:space="preserve"> </t>
    </r>
    <r>
      <rPr>
        <sz val="8"/>
        <rFont val="メイリオ"/>
        <family val="3"/>
        <charset val="128"/>
      </rPr>
      <t>税金等調整前当期純利益　</t>
    </r>
    <r>
      <rPr>
        <sz val="8"/>
        <rFont val="Arial"/>
        <family val="2"/>
      </rPr>
      <t>Profit Before Income Taxes</t>
    </r>
    <rPh sb="7" eb="8">
      <t>トウ</t>
    </rPh>
    <phoneticPr fontId="18"/>
  </si>
  <si>
    <t>■　2023.3期　タクソノミより英文表記変更　戻し　※小計科目の方は「Net～」が正しい。</t>
    <rPh sb="8" eb="9">
      <t>キ</t>
    </rPh>
    <rPh sb="17" eb="19">
      <t>エイブン</t>
    </rPh>
    <rPh sb="19" eb="21">
      <t>ヒョウキ</t>
    </rPh>
    <rPh sb="21" eb="23">
      <t>ヘンコウ</t>
    </rPh>
    <rPh sb="24" eb="25">
      <t>モド</t>
    </rPh>
    <rPh sb="28" eb="32">
      <t>ショウケイカモク</t>
    </rPh>
    <rPh sb="33" eb="34">
      <t>ホウ</t>
    </rPh>
    <rPh sb="42" eb="43">
      <t>タダ</t>
    </rPh>
    <phoneticPr fontId="14"/>
  </si>
  <si>
    <t>営業活動によるキャッシュフロー「Cash flows from operating activities」→Net cash provided by (used in) operating activities」</t>
    <rPh sb="0" eb="2">
      <t>エイギョウ</t>
    </rPh>
    <rPh sb="2" eb="4">
      <t>カツドウ</t>
    </rPh>
    <phoneticPr fontId="14"/>
  </si>
  <si>
    <t>投資活動によるキャッシュフロー「Cash flows from investing activities」→「Net cash provided by (used in) investing activities」</t>
    <rPh sb="0" eb="2">
      <t>トウシ</t>
    </rPh>
    <rPh sb="2" eb="4">
      <t>カツドウ</t>
    </rPh>
    <phoneticPr fontId="14"/>
  </si>
  <si>
    <t>財務活動によるキャッシュフロー「Cash flows from financing activities」→「Net cash provided by (used in) financing activities」</t>
    <rPh sb="0" eb="2">
      <t>ザイム</t>
    </rPh>
    <rPh sb="2" eb="4">
      <t>カツドウ</t>
    </rPh>
    <phoneticPr fontId="14"/>
  </si>
  <si>
    <t>照合</t>
    <rPh sb="0" eb="2">
      <t>ショウゴウ</t>
    </rPh>
    <phoneticPr fontId="14"/>
  </si>
  <si>
    <t>ROA　＝　経常利益÷総資産（期首・期末平均）×100％</t>
    <rPh sb="6" eb="8">
      <t>ケイジョウ</t>
    </rPh>
    <phoneticPr fontId="29"/>
  </si>
  <si>
    <r>
      <t>Ratio of Successful Off-site Bids</t>
    </r>
    <r>
      <rPr>
        <sz val="10"/>
        <rFont val="メイリオ"/>
        <family val="3"/>
        <charset val="128"/>
      </rPr>
      <t>　＝　</t>
    </r>
    <r>
      <rPr>
        <sz val="10"/>
        <rFont val="Arial"/>
        <family val="2"/>
      </rPr>
      <t>Successful Off-site Bids / USS Group Successful Bids ×100%</t>
    </r>
    <phoneticPr fontId="29"/>
  </si>
  <si>
    <r>
      <t>ROE</t>
    </r>
    <r>
      <rPr>
        <sz val="10"/>
        <rFont val="メイリオ"/>
        <family val="3"/>
        <charset val="128"/>
      </rPr>
      <t>　＝　</t>
    </r>
    <r>
      <rPr>
        <sz val="10"/>
        <rFont val="Arial"/>
        <family val="2"/>
      </rPr>
      <t>Profit Attributable to Owners of Parent / Equity Capital (average at beginning and end of year) ×100%</t>
    </r>
    <phoneticPr fontId="29"/>
  </si>
  <si>
    <r>
      <t>ROA</t>
    </r>
    <r>
      <rPr>
        <sz val="10"/>
        <rFont val="メイリオ"/>
        <family val="3"/>
        <charset val="128"/>
      </rPr>
      <t>　＝　</t>
    </r>
    <r>
      <rPr>
        <sz val="10"/>
        <rFont val="Arial"/>
        <family val="2"/>
      </rPr>
      <t>Ordinary Profit / Total Assets (average at beginning and end of year) ×100%</t>
    </r>
    <phoneticPr fontId="29"/>
  </si>
  <si>
    <t>過去X年平均増減率　＝　｛（当期数値÷X年前数値）＾（1÷X年）-1｝×100％</t>
    <rPh sb="0" eb="2">
      <t>カコ</t>
    </rPh>
    <rPh sb="3" eb="4">
      <t>ネン</t>
    </rPh>
    <rPh sb="4" eb="6">
      <t>ヘイキン</t>
    </rPh>
    <rPh sb="6" eb="8">
      <t>ゾウゲン</t>
    </rPh>
    <rPh sb="8" eb="9">
      <t>リツ</t>
    </rPh>
    <rPh sb="30" eb="31">
      <t>ネン</t>
    </rPh>
    <phoneticPr fontId="29"/>
  </si>
  <si>
    <r>
      <t xml:space="preserve">Gross Profit Margin </t>
    </r>
    <r>
      <rPr>
        <sz val="10"/>
        <rFont val="メイリオ"/>
        <family val="3"/>
        <charset val="128"/>
      </rPr>
      <t>＝　</t>
    </r>
    <r>
      <rPr>
        <sz val="10"/>
        <rFont val="Arial"/>
        <family val="2"/>
      </rPr>
      <t>Gross Profit / Net Sales ×100%</t>
    </r>
    <phoneticPr fontId="29"/>
  </si>
  <si>
    <r>
      <t>Selling, General and Administrative Expenses Ratio</t>
    </r>
    <r>
      <rPr>
        <sz val="10"/>
        <rFont val="メイリオ"/>
        <family val="3"/>
        <charset val="128"/>
      </rPr>
      <t>　＝　</t>
    </r>
    <r>
      <rPr>
        <sz val="10"/>
        <rFont val="Arial"/>
        <family val="2"/>
      </rPr>
      <t>Selling, General and Administrative Expenses / Net Sales ×100%</t>
    </r>
    <phoneticPr fontId="29"/>
  </si>
  <si>
    <r>
      <t>Avg YoY Change (X year period)</t>
    </r>
    <r>
      <rPr>
        <sz val="10"/>
        <rFont val="メイリオ"/>
        <family val="3"/>
        <charset val="128"/>
      </rPr>
      <t>　＝　</t>
    </r>
    <r>
      <rPr>
        <sz val="10"/>
        <rFont val="Arial"/>
        <family val="2"/>
      </rPr>
      <t>{(Number for current FY(CY) / Number for X years earlier)</t>
    </r>
    <r>
      <rPr>
        <sz val="10"/>
        <rFont val="メイリオ"/>
        <family val="3"/>
        <charset val="128"/>
      </rPr>
      <t>＾</t>
    </r>
    <r>
      <rPr>
        <sz val="10"/>
        <rFont val="Arial"/>
        <family val="2"/>
      </rPr>
      <t>(1 / X years)-1} ×100%</t>
    </r>
    <phoneticPr fontId="29"/>
  </si>
  <si>
    <t>リサイクル　Recycling Business</t>
    <phoneticPr fontId="29"/>
  </si>
  <si>
    <t>リサイクル
Recycling Business</t>
    <phoneticPr fontId="29"/>
  </si>
  <si>
    <t>2012.3</t>
  </si>
  <si>
    <r>
      <rPr>
        <sz val="12"/>
        <rFont val="メイリオ"/>
        <family val="3"/>
        <charset val="128"/>
      </rPr>
      <t>その他</t>
    </r>
    <r>
      <rPr>
        <sz val="12"/>
        <rFont val="Arial"/>
        <family val="2"/>
      </rPr>
      <t>(</t>
    </r>
    <r>
      <rPr>
        <sz val="12"/>
        <rFont val="メイリオ"/>
        <family val="3"/>
        <charset val="128"/>
      </rPr>
      <t>計算用</t>
    </r>
    <r>
      <rPr>
        <sz val="12"/>
        <rFont val="Arial"/>
        <family val="2"/>
      </rPr>
      <t>)</t>
    </r>
    <r>
      <rPr>
        <sz val="12"/>
        <rFont val="メイリオ"/>
        <family val="3"/>
        <charset val="128"/>
      </rPr>
      <t xml:space="preserve">
　</t>
    </r>
    <r>
      <rPr>
        <sz val="12"/>
        <rFont val="Arial"/>
        <family val="2"/>
      </rPr>
      <t>Other Business</t>
    </r>
    <rPh sb="2" eb="3">
      <t>タ</t>
    </rPh>
    <rPh sb="4" eb="7">
      <t>ケイサンヨウ</t>
    </rPh>
    <phoneticPr fontId="29"/>
  </si>
  <si>
    <r>
      <rPr>
        <sz val="12"/>
        <rFont val="メイリオ"/>
        <family val="3"/>
        <charset val="128"/>
      </rPr>
      <t>その他</t>
    </r>
    <r>
      <rPr>
        <sz val="12"/>
        <rFont val="Arial"/>
        <family val="2"/>
      </rPr>
      <t>(</t>
    </r>
    <r>
      <rPr>
        <sz val="12"/>
        <rFont val="メイリオ"/>
        <family val="3"/>
        <charset val="128"/>
      </rPr>
      <t>表示用</t>
    </r>
    <r>
      <rPr>
        <sz val="12"/>
        <rFont val="Arial"/>
        <family val="2"/>
      </rPr>
      <t>)</t>
    </r>
    <r>
      <rPr>
        <sz val="12"/>
        <rFont val="メイリオ"/>
        <family val="3"/>
        <charset val="128"/>
      </rPr>
      <t xml:space="preserve">
　</t>
    </r>
    <r>
      <rPr>
        <sz val="12"/>
        <rFont val="Arial"/>
        <family val="2"/>
      </rPr>
      <t>Other Business</t>
    </r>
    <rPh sb="2" eb="3">
      <t>タ</t>
    </rPh>
    <rPh sb="4" eb="6">
      <t>ヒョウジ</t>
    </rPh>
    <rPh sb="6" eb="7">
      <t>ヨウ</t>
    </rPh>
    <phoneticPr fontId="29"/>
  </si>
  <si>
    <t>2022.3</t>
    <phoneticPr fontId="17"/>
  </si>
  <si>
    <t>VS. Prev. year</t>
    <phoneticPr fontId="29"/>
  </si>
  <si>
    <t>Avg YoY Change 
(10 year period)</t>
    <phoneticPr fontId="29"/>
  </si>
  <si>
    <t>VS. Prev. year</t>
    <phoneticPr fontId="17"/>
  </si>
  <si>
    <t>Avg YoY Change 
(10 year period)</t>
    <phoneticPr fontId="17"/>
  </si>
  <si>
    <t>-</t>
    <phoneticPr fontId="17"/>
  </si>
  <si>
    <t>-</t>
    <phoneticPr fontId="17"/>
  </si>
  <si>
    <r>
      <rPr>
        <sz val="10"/>
        <rFont val="メイリオ"/>
        <family val="3"/>
        <charset val="128"/>
      </rPr>
      <t xml:space="preserve">その他　計
</t>
    </r>
    <r>
      <rPr>
        <sz val="10"/>
        <rFont val="Arial"/>
        <family val="2"/>
      </rPr>
      <t>Other Business Total</t>
    </r>
    <phoneticPr fontId="17"/>
  </si>
  <si>
    <r>
      <rPr>
        <sz val="7"/>
        <color theme="0"/>
        <rFont val="メイリオ"/>
        <family val="3"/>
        <charset val="128"/>
      </rPr>
      <t>過去</t>
    </r>
    <r>
      <rPr>
        <sz val="7"/>
        <color theme="0"/>
        <rFont val="Arial"/>
        <family val="2"/>
      </rPr>
      <t>10</t>
    </r>
    <r>
      <rPr>
        <sz val="7"/>
        <color theme="0"/>
        <rFont val="メイリオ"/>
        <family val="3"/>
        <charset val="128"/>
      </rPr>
      <t>年
平均増減率</t>
    </r>
    <phoneticPr fontId="29"/>
  </si>
  <si>
    <t>Avg YoY Change 
(10 year period)</t>
    <phoneticPr fontId="29"/>
  </si>
  <si>
    <t>VS. Prev. year</t>
    <phoneticPr fontId="17"/>
  </si>
  <si>
    <r>
      <rPr>
        <sz val="8"/>
        <rFont val="メイリオ"/>
        <family val="3"/>
        <charset val="128"/>
      </rPr>
      <t xml:space="preserve">その他
</t>
    </r>
    <r>
      <rPr>
        <sz val="8"/>
        <rFont val="Arial"/>
        <family val="2"/>
      </rPr>
      <t xml:space="preserve">Other Revenues </t>
    </r>
    <phoneticPr fontId="17"/>
  </si>
  <si>
    <r>
      <rPr>
        <sz val="10"/>
        <rFont val="メイリオ"/>
        <family val="3"/>
        <charset val="128"/>
      </rPr>
      <t xml:space="preserve">その他
</t>
    </r>
    <r>
      <rPr>
        <sz val="10"/>
        <rFont val="Arial"/>
        <family val="2"/>
      </rPr>
      <t xml:space="preserve">Other Revenues </t>
    </r>
    <phoneticPr fontId="17"/>
  </si>
  <si>
    <r>
      <rPr>
        <sz val="8"/>
        <rFont val="メイリオ"/>
        <family val="3"/>
        <charset val="128"/>
      </rPr>
      <t xml:space="preserve">その他　計
</t>
    </r>
    <r>
      <rPr>
        <sz val="8"/>
        <rFont val="Arial"/>
        <family val="2"/>
      </rPr>
      <t>Other Business Total</t>
    </r>
    <phoneticPr fontId="17"/>
  </si>
  <si>
    <r>
      <rPr>
        <sz val="10"/>
        <rFont val="メイリオ"/>
        <family val="3"/>
        <charset val="128"/>
      </rPr>
      <t>　　ちなみに</t>
    </r>
    <r>
      <rPr>
        <sz val="10"/>
        <rFont val="Arial"/>
        <family val="2"/>
      </rPr>
      <t>1 Long Ton(</t>
    </r>
    <r>
      <rPr>
        <sz val="10"/>
        <rFont val="メイリオ"/>
        <family val="3"/>
        <charset val="128"/>
      </rPr>
      <t>英国トン</t>
    </r>
    <r>
      <rPr>
        <sz val="10"/>
        <rFont val="Arial"/>
        <family val="2"/>
      </rPr>
      <t>)= 2240 lbs = 1016.05 kg</t>
    </r>
    <r>
      <rPr>
        <sz val="10"/>
        <rFont val="メイリオ"/>
        <family val="3"/>
        <charset val="128"/>
      </rPr>
      <t>、</t>
    </r>
    <r>
      <rPr>
        <sz val="10"/>
        <rFont val="Arial"/>
        <family val="2"/>
      </rPr>
      <t>1 Short Ton(</t>
    </r>
    <r>
      <rPr>
        <sz val="10"/>
        <rFont val="メイリオ"/>
        <family val="3"/>
        <charset val="128"/>
      </rPr>
      <t>米国トン</t>
    </r>
    <r>
      <rPr>
        <sz val="10"/>
        <rFont val="Arial"/>
        <family val="2"/>
      </rPr>
      <t>) = 2000 lbs = 907.18 kg</t>
    </r>
    <r>
      <rPr>
        <sz val="10"/>
        <rFont val="メイリオ"/>
        <family val="3"/>
        <charset val="128"/>
      </rPr>
      <t>である。</t>
    </r>
    <phoneticPr fontId="17"/>
  </si>
  <si>
    <r>
      <rPr>
        <sz val="10"/>
        <rFont val="メイリオ"/>
        <family val="3"/>
        <charset val="128"/>
      </rPr>
      <t>リサイクル　計
Recycling</t>
    </r>
    <r>
      <rPr>
        <sz val="10"/>
        <rFont val="Arial"/>
        <family val="2"/>
      </rPr>
      <t xml:space="preserve"> Business Total</t>
    </r>
    <phoneticPr fontId="17"/>
  </si>
  <si>
    <t xml:space="preserve"> </t>
    <phoneticPr fontId="23"/>
  </si>
  <si>
    <t xml:space="preserve">VS. Prev. year </t>
    <phoneticPr fontId="17"/>
  </si>
  <si>
    <t>売上高</t>
    <phoneticPr fontId="14"/>
  </si>
  <si>
    <t>* The used car export procedure service of USS Logistics International Service Co., Ltd., which was established in February 2011, is not shown because this company was a negligible percentage of the other business segment in the fiscal year ended March 31, 2011.</t>
    <phoneticPr fontId="17"/>
  </si>
  <si>
    <t>-</t>
    <phoneticPr fontId="29"/>
  </si>
  <si>
    <t xml:space="preserve">          2203(2103短信）_予算開示資料(STRAVS).xlsm</t>
    <phoneticPr fontId="29"/>
  </si>
  <si>
    <t>（リサイクル事業）</t>
    <rPh sb="6" eb="8">
      <t>ジギョウ</t>
    </rPh>
    <phoneticPr fontId="14"/>
  </si>
  <si>
    <t>資源リサイクル</t>
    <rPh sb="0" eb="2">
      <t>シゲン</t>
    </rPh>
    <phoneticPr fontId="14"/>
  </si>
  <si>
    <t>プラントリサイクル</t>
    <phoneticPr fontId="14"/>
  </si>
  <si>
    <t>リサイクル事業計</t>
    <rPh sb="5" eb="7">
      <t>ジギョウ</t>
    </rPh>
    <rPh sb="7" eb="8">
      <t>ケイ</t>
    </rPh>
    <phoneticPr fontId="14"/>
  </si>
  <si>
    <t>その他</t>
    <rPh sb="2" eb="3">
      <t>タ</t>
    </rPh>
    <phoneticPr fontId="29"/>
  </si>
  <si>
    <t>プラントリサイクル
Industrial Plant Recycling</t>
  </si>
  <si>
    <r>
      <rPr>
        <sz val="10"/>
        <rFont val="ＭＳ ゴシック"/>
        <family val="3"/>
        <charset val="128"/>
      </rPr>
      <t>←</t>
    </r>
    <r>
      <rPr>
        <sz val="10"/>
        <rFont val="ＭＳ ゴシック"/>
        <family val="3"/>
        <charset val="128"/>
      </rPr>
      <t>過去</t>
    </r>
    <r>
      <rPr>
        <sz val="10"/>
        <rFont val="Arial"/>
        <family val="2"/>
      </rPr>
      <t>10</t>
    </r>
    <r>
      <rPr>
        <sz val="10"/>
        <rFont val="ＭＳ ゴシック"/>
        <family val="3"/>
        <charset val="128"/>
      </rPr>
      <t>年平均増減率は、</t>
    </r>
    <r>
      <rPr>
        <sz val="10"/>
        <rFont val="Arial"/>
        <family val="2"/>
      </rPr>
      <t>2018</t>
    </r>
    <r>
      <rPr>
        <sz val="10"/>
        <rFont val="ＭＳ ゴシック"/>
        <family val="3"/>
        <charset val="128"/>
      </rPr>
      <t>年</t>
    </r>
    <r>
      <rPr>
        <sz val="10"/>
        <rFont val="Arial"/>
        <family val="2"/>
      </rPr>
      <t>3</t>
    </r>
    <r>
      <rPr>
        <sz val="10"/>
        <rFont val="ＭＳ ゴシック"/>
        <family val="3"/>
        <charset val="128"/>
      </rPr>
      <t>月期から計算式で算出するが、</t>
    </r>
    <r>
      <rPr>
        <sz val="10"/>
        <color rgb="FFFF0000"/>
        <rFont val="ＭＳ ゴシック"/>
        <family val="3"/>
        <charset val="128"/>
      </rPr>
      <t>比較年は</t>
    </r>
    <r>
      <rPr>
        <sz val="10"/>
        <color rgb="FFFF0000"/>
        <rFont val="Arial"/>
        <family val="2"/>
      </rPr>
      <t>2017</t>
    </r>
    <r>
      <rPr>
        <sz val="10"/>
        <color rgb="FFFF0000"/>
        <rFont val="ＭＳ ゴシック"/>
        <family val="3"/>
        <charset val="128"/>
      </rPr>
      <t>年</t>
    </r>
    <r>
      <rPr>
        <sz val="10"/>
        <color rgb="FFFF0000"/>
        <rFont val="Arial"/>
        <family val="2"/>
      </rPr>
      <t>3</t>
    </r>
    <r>
      <rPr>
        <sz val="10"/>
        <color rgb="FFFF0000"/>
        <rFont val="ＭＳ ゴシック"/>
        <family val="3"/>
        <charset val="128"/>
      </rPr>
      <t>月期</t>
    </r>
    <r>
      <rPr>
        <sz val="10"/>
        <rFont val="ＭＳ ゴシック"/>
        <family val="3"/>
        <charset val="128"/>
      </rPr>
      <t>とする。※</t>
    </r>
    <r>
      <rPr>
        <sz val="10"/>
        <rFont val="Arial"/>
        <family val="2"/>
      </rPr>
      <t>10</t>
    </r>
    <r>
      <rPr>
        <sz val="10"/>
        <rFont val="ＭＳ ゴシック"/>
        <family val="3"/>
        <charset val="128"/>
      </rPr>
      <t>年たつまで毎年計算式を更新</t>
    </r>
    <rPh sb="1" eb="3">
      <t>カコ</t>
    </rPh>
    <rPh sb="5" eb="6">
      <t>ネン</t>
    </rPh>
    <rPh sb="6" eb="8">
      <t>ヘイキン</t>
    </rPh>
    <rPh sb="8" eb="10">
      <t>ゾウゲン</t>
    </rPh>
    <rPh sb="10" eb="11">
      <t>リツ</t>
    </rPh>
    <rPh sb="17" eb="18">
      <t>ネン</t>
    </rPh>
    <rPh sb="19" eb="21">
      <t>ガツキ</t>
    </rPh>
    <rPh sb="23" eb="25">
      <t>ケイサン</t>
    </rPh>
    <rPh sb="25" eb="26">
      <t>シキ</t>
    </rPh>
    <rPh sb="27" eb="29">
      <t>サンシュツ</t>
    </rPh>
    <rPh sb="33" eb="35">
      <t>ヒカク</t>
    </rPh>
    <rPh sb="35" eb="36">
      <t>ネン</t>
    </rPh>
    <rPh sb="41" eb="42">
      <t>ネン</t>
    </rPh>
    <rPh sb="43" eb="45">
      <t>ガツキ</t>
    </rPh>
    <rPh sb="52" eb="53">
      <t>ネン</t>
    </rPh>
    <rPh sb="57" eb="59">
      <t>マイトシ</t>
    </rPh>
    <rPh sb="59" eb="61">
      <t>ケイサン</t>
    </rPh>
    <rPh sb="61" eb="62">
      <t>シキ</t>
    </rPh>
    <rPh sb="63" eb="65">
      <t>コウシン</t>
    </rPh>
    <phoneticPr fontId="17"/>
  </si>
  <si>
    <t xml:space="preserve">*The number of company-affiliated vehicles consigned in 2021 has been retroactively adjusted due to a revision of data published by USEDCAR Co., Ltd. </t>
    <phoneticPr fontId="17"/>
  </si>
  <si>
    <t>*The number of other vehicles consigned and the share in 2021 have been retroactively adjusted due to a revision of data published by USEDCAR Co., Ltd.</t>
    <phoneticPr fontId="17"/>
  </si>
  <si>
    <t xml:space="preserve">※2015.3期までの少数株主持分は、非支配株主持分として表示しております。 </t>
  </si>
  <si>
    <t>※2013.3期までの退職給付引当金は、退職給付に係る負債として表示しております。　</t>
    <rPh sb="7" eb="8">
      <t>キ</t>
    </rPh>
    <rPh sb="11" eb="13">
      <t>タイショク</t>
    </rPh>
    <rPh sb="13" eb="15">
      <t>キュウフ</t>
    </rPh>
    <rPh sb="15" eb="17">
      <t>ヒキアテ</t>
    </rPh>
    <rPh sb="17" eb="18">
      <t>キン</t>
    </rPh>
    <rPh sb="20" eb="22">
      <t>タイショク</t>
    </rPh>
    <rPh sb="22" eb="24">
      <t>キュウフ</t>
    </rPh>
    <rPh sb="25" eb="26">
      <t>カカ</t>
    </rPh>
    <rPh sb="27" eb="29">
      <t>フサイ</t>
    </rPh>
    <rPh sb="32" eb="34">
      <t>ヒョウジ</t>
    </rPh>
    <phoneticPr fontId="14"/>
  </si>
  <si>
    <t xml:space="preserve">* Provision for Retirement Benefits for the period up to the fiscal year ended March 2013 is presented as Retirement Benefit Liability. </t>
    <phoneticPr fontId="17"/>
  </si>
  <si>
    <t>* Minority Interests for the period up to the fiscal year ended March 2015 is presented as Non-controlling Interests.</t>
  </si>
  <si>
    <t>役員賞与の支払額　Bonuses Paid to Directors and Statutory Auditors</t>
    <rPh sb="0" eb="2">
      <t>ヤクイン</t>
    </rPh>
    <rPh sb="2" eb="4">
      <t>ショウヨ</t>
    </rPh>
    <rPh sb="5" eb="8">
      <t>シハライガク</t>
    </rPh>
    <phoneticPr fontId="17"/>
  </si>
  <si>
    <t>その他の支払額　Other Paid</t>
    <rPh sb="2" eb="3">
      <t>タ</t>
    </rPh>
    <rPh sb="4" eb="6">
      <t>シハライ</t>
    </rPh>
    <rPh sb="6" eb="7">
      <t>ガク</t>
    </rPh>
    <phoneticPr fontId="14"/>
  </si>
  <si>
    <t>株式の発行による収入　Proceeds from Issuance of Common Shares</t>
    <rPh sb="0" eb="5">
      <t>カブシキハッコウ</t>
    </rPh>
    <rPh sb="8" eb="10">
      <t>シュウニュウ</t>
    </rPh>
    <phoneticPr fontId="17"/>
  </si>
  <si>
    <t>資産除去債務会計基準の適用に伴う影響額
Loss on Adjustment for Changes of Accounting Standard for Asset Retirement Obligations</t>
    <phoneticPr fontId="14"/>
  </si>
  <si>
    <t>※㈱ユーストカーの公表数値の修正にともない、2021年の企業系の出品台数を遡及修正しております。　</t>
    <phoneticPr fontId="17"/>
  </si>
  <si>
    <t>※㈱ジェイ・エー・エーの子会社化にともない、2017年10月以降のJAAグループの出品台数を、USSグループに含めております。</t>
    <rPh sb="12" eb="16">
      <t>コガイシャカ</t>
    </rPh>
    <rPh sb="26" eb="27">
      <t>ネン</t>
    </rPh>
    <rPh sb="29" eb="30">
      <t>ガツ</t>
    </rPh>
    <rPh sb="30" eb="32">
      <t>イコウ</t>
    </rPh>
    <rPh sb="41" eb="43">
      <t>シュッピン</t>
    </rPh>
    <rPh sb="43" eb="45">
      <t>ダイスウ</t>
    </rPh>
    <rPh sb="55" eb="56">
      <t>フク</t>
    </rPh>
    <phoneticPr fontId="17"/>
  </si>
  <si>
    <t>※㈱ユーストカーの公表数値の修正にともない、2021年のその他の出品台数とグループ別シェアを遡及修正しております。</t>
    <phoneticPr fontId="29"/>
  </si>
  <si>
    <t>メーカー・ディーラー系：自動車メーカーおよびその関連会社またはメーカー系ディーラーにより運営される会場</t>
    <rPh sb="10" eb="11">
      <t>ケイ</t>
    </rPh>
    <rPh sb="12" eb="14">
      <t>ジドウ</t>
    </rPh>
    <rPh sb="14" eb="15">
      <t>シャ</t>
    </rPh>
    <rPh sb="24" eb="26">
      <t>カンレン</t>
    </rPh>
    <rPh sb="26" eb="28">
      <t>ガイシャ</t>
    </rPh>
    <rPh sb="35" eb="36">
      <t>ケイ</t>
    </rPh>
    <rPh sb="44" eb="46">
      <t>ウンエイ</t>
    </rPh>
    <rPh sb="49" eb="51">
      <t>カイジョウ</t>
    </rPh>
    <phoneticPr fontId="17"/>
  </si>
  <si>
    <r>
      <t>売上高　</t>
    </r>
    <r>
      <rPr>
        <sz val="8"/>
        <rFont val="Arial"/>
        <family val="2"/>
      </rPr>
      <t>Net Sales</t>
    </r>
    <rPh sb="0" eb="2">
      <t>ウリアゲ</t>
    </rPh>
    <rPh sb="2" eb="3">
      <t>ダカ</t>
    </rPh>
    <phoneticPr fontId="17"/>
  </si>
  <si>
    <r>
      <t>営業利益　</t>
    </r>
    <r>
      <rPr>
        <sz val="8"/>
        <rFont val="Arial"/>
        <family val="2"/>
      </rPr>
      <t>Operating Profit</t>
    </r>
    <rPh sb="0" eb="2">
      <t>エイギョウ</t>
    </rPh>
    <rPh sb="2" eb="4">
      <t>リエキ</t>
    </rPh>
    <phoneticPr fontId="17"/>
  </si>
  <si>
    <r>
      <t>経常利益　</t>
    </r>
    <r>
      <rPr>
        <sz val="8"/>
        <rFont val="Arial"/>
        <family val="2"/>
      </rPr>
      <t>Ordinary Profit</t>
    </r>
    <rPh sb="0" eb="2">
      <t>ケイジョウ</t>
    </rPh>
    <rPh sb="2" eb="4">
      <t>リエキ</t>
    </rPh>
    <phoneticPr fontId="17"/>
  </si>
  <si>
    <r>
      <t>親会社株主に帰属する当期純利益　</t>
    </r>
    <r>
      <rPr>
        <sz val="8"/>
        <rFont val="Arial"/>
        <family val="2"/>
      </rPr>
      <t>Profit Attributable to Owners of Parent</t>
    </r>
    <rPh sb="0" eb="3">
      <t>オヤガイシャ</t>
    </rPh>
    <rPh sb="3" eb="5">
      <t>カブヌシ</t>
    </rPh>
    <rPh sb="6" eb="8">
      <t>キゾク</t>
    </rPh>
    <rPh sb="10" eb="12">
      <t>トウキ</t>
    </rPh>
    <rPh sb="12" eb="15">
      <t>ジュンリエキ</t>
    </rPh>
    <phoneticPr fontId="17"/>
  </si>
  <si>
    <r>
      <t>包括利益　</t>
    </r>
    <r>
      <rPr>
        <sz val="8"/>
        <rFont val="Arial"/>
        <family val="2"/>
      </rPr>
      <t>Comprehensive Income</t>
    </r>
    <phoneticPr fontId="17"/>
  </si>
  <si>
    <r>
      <t>資産　</t>
    </r>
    <r>
      <rPr>
        <sz val="8"/>
        <rFont val="Arial"/>
        <family val="2"/>
      </rPr>
      <t>Total Assets</t>
    </r>
    <rPh sb="0" eb="2">
      <t>シサン</t>
    </rPh>
    <phoneticPr fontId="17"/>
  </si>
  <si>
    <r>
      <t>　現金及び預金　</t>
    </r>
    <r>
      <rPr>
        <sz val="8"/>
        <rFont val="Arial"/>
        <family val="2"/>
      </rPr>
      <t>Cash and Deposits</t>
    </r>
    <rPh sb="1" eb="2">
      <t>ゲン</t>
    </rPh>
    <rPh sb="2" eb="3">
      <t>キン</t>
    </rPh>
    <rPh sb="3" eb="4">
      <t>オヨ</t>
    </rPh>
    <rPh sb="5" eb="7">
      <t>ヨキン</t>
    </rPh>
    <phoneticPr fontId="17"/>
  </si>
  <si>
    <r>
      <t>負債　</t>
    </r>
    <r>
      <rPr>
        <sz val="8"/>
        <rFont val="Arial"/>
        <family val="2"/>
      </rPr>
      <t>Total Liabilities</t>
    </r>
    <rPh sb="0" eb="2">
      <t>フサイ</t>
    </rPh>
    <phoneticPr fontId="17"/>
  </si>
  <si>
    <r>
      <t>　有利子負債　</t>
    </r>
    <r>
      <rPr>
        <sz val="8"/>
        <rFont val="Arial"/>
        <family val="2"/>
      </rPr>
      <t>Interest Bearing Debt</t>
    </r>
    <rPh sb="1" eb="2">
      <t>ユウ</t>
    </rPh>
    <rPh sb="2" eb="4">
      <t>リシ</t>
    </rPh>
    <rPh sb="4" eb="6">
      <t>フサイ</t>
    </rPh>
    <phoneticPr fontId="17"/>
  </si>
  <si>
    <r>
      <t>純資産　</t>
    </r>
    <r>
      <rPr>
        <sz val="8"/>
        <rFont val="Arial"/>
        <family val="2"/>
      </rPr>
      <t>Total Net Assets</t>
    </r>
    <rPh sb="0" eb="3">
      <t>ジュンシサン</t>
    </rPh>
    <phoneticPr fontId="14"/>
  </si>
  <si>
    <r>
      <t>　自己資本　</t>
    </r>
    <r>
      <rPr>
        <sz val="8"/>
        <rFont val="Arial"/>
        <family val="2"/>
      </rPr>
      <t>Equity Capital</t>
    </r>
    <rPh sb="1" eb="3">
      <t>ジコ</t>
    </rPh>
    <rPh sb="3" eb="5">
      <t>シホン</t>
    </rPh>
    <phoneticPr fontId="17"/>
  </si>
  <si>
    <r>
      <rPr>
        <sz val="8"/>
        <rFont val="Arial"/>
        <family val="2"/>
      </rPr>
      <t>EPS</t>
    </r>
    <r>
      <rPr>
        <sz val="8"/>
        <rFont val="メイリオ"/>
        <family val="3"/>
        <charset val="128"/>
      </rPr>
      <t>（円）　</t>
    </r>
    <r>
      <rPr>
        <sz val="8"/>
        <rFont val="Arial"/>
        <family val="2"/>
      </rPr>
      <t>EPS (Yen)</t>
    </r>
    <rPh sb="4" eb="5">
      <t>エン</t>
    </rPh>
    <phoneticPr fontId="17"/>
  </si>
  <si>
    <r>
      <t>配当金（円）　</t>
    </r>
    <r>
      <rPr>
        <sz val="8"/>
        <rFont val="Arial"/>
        <family val="2"/>
      </rPr>
      <t>Dividend per Share (Yen)</t>
    </r>
    <rPh sb="0" eb="3">
      <t>ハイトウキン</t>
    </rPh>
    <rPh sb="4" eb="5">
      <t>エン</t>
    </rPh>
    <phoneticPr fontId="14"/>
  </si>
  <si>
    <r>
      <rPr>
        <sz val="8"/>
        <rFont val="メイリオ"/>
        <family val="3"/>
        <charset val="128"/>
      </rPr>
      <t>営業利益率　</t>
    </r>
    <r>
      <rPr>
        <sz val="8"/>
        <rFont val="Arial"/>
        <family val="2"/>
      </rPr>
      <t>Operating Margin</t>
    </r>
    <rPh sb="0" eb="2">
      <t>エイギョウ</t>
    </rPh>
    <rPh sb="2" eb="4">
      <t>リエキ</t>
    </rPh>
    <rPh sb="4" eb="5">
      <t>リツ</t>
    </rPh>
    <phoneticPr fontId="14"/>
  </si>
  <si>
    <r>
      <rPr>
        <sz val="8"/>
        <rFont val="メイリオ"/>
        <family val="3"/>
        <charset val="128"/>
      </rPr>
      <t>配当性向　</t>
    </r>
    <r>
      <rPr>
        <sz val="8"/>
        <rFont val="Arial"/>
        <family val="2"/>
      </rPr>
      <t>Dividend Payout Ratio</t>
    </r>
    <rPh sb="0" eb="2">
      <t>ハイトウ</t>
    </rPh>
    <rPh sb="2" eb="4">
      <t>セイコウ</t>
    </rPh>
    <phoneticPr fontId="17"/>
  </si>
  <si>
    <r>
      <rPr>
        <sz val="8"/>
        <rFont val="メイリオ"/>
        <family val="3"/>
        <charset val="128"/>
      </rPr>
      <t>自己資本比率　</t>
    </r>
    <r>
      <rPr>
        <sz val="8"/>
        <rFont val="Arial"/>
        <family val="2"/>
      </rPr>
      <t>Equity Ratio</t>
    </r>
    <rPh sb="0" eb="2">
      <t>ジコ</t>
    </rPh>
    <rPh sb="2" eb="4">
      <t>シホン</t>
    </rPh>
    <rPh sb="4" eb="6">
      <t>ヒリツ</t>
    </rPh>
    <phoneticPr fontId="17"/>
  </si>
  <si>
    <r>
      <rPr>
        <sz val="8"/>
        <rFont val="メイリオ"/>
        <family val="3"/>
        <charset val="128"/>
      </rPr>
      <t>自己株式数　</t>
    </r>
    <r>
      <rPr>
        <sz val="8"/>
        <rFont val="Arial"/>
        <family val="2"/>
      </rPr>
      <t>Treasury Shares</t>
    </r>
    <rPh sb="0" eb="2">
      <t>ジコ</t>
    </rPh>
    <rPh sb="2" eb="3">
      <t>カブ</t>
    </rPh>
    <rPh sb="3" eb="4">
      <t>シキ</t>
    </rPh>
    <rPh sb="4" eb="5">
      <t>スウ</t>
    </rPh>
    <phoneticPr fontId="17"/>
  </si>
  <si>
    <r>
      <rPr>
        <sz val="8"/>
        <rFont val="メイリオ"/>
        <family val="3"/>
        <charset val="128"/>
      </rPr>
      <t>現車会員数（</t>
    </r>
    <r>
      <rPr>
        <sz val="8"/>
        <rFont val="Arial"/>
        <family val="2"/>
      </rPr>
      <t>JBA</t>
    </r>
    <r>
      <rPr>
        <sz val="8"/>
        <rFont val="メイリオ"/>
        <family val="3"/>
        <charset val="128"/>
      </rPr>
      <t>除く）　</t>
    </r>
    <r>
      <rPr>
        <sz val="8"/>
        <rFont val="Arial"/>
        <family val="2"/>
      </rPr>
      <t>On-site Auction Members (excl. JBA)</t>
    </r>
    <rPh sb="0" eb="1">
      <t>ゲン</t>
    </rPh>
    <rPh sb="1" eb="2">
      <t>クルマ</t>
    </rPh>
    <rPh sb="2" eb="4">
      <t>カイイン</t>
    </rPh>
    <rPh sb="4" eb="5">
      <t>スウ</t>
    </rPh>
    <phoneticPr fontId="14"/>
  </si>
  <si>
    <r>
      <rPr>
        <sz val="8"/>
        <rFont val="メイリオ"/>
        <family val="3"/>
        <charset val="128"/>
      </rPr>
      <t>会場数（</t>
    </r>
    <r>
      <rPr>
        <sz val="8"/>
        <rFont val="Arial"/>
        <family val="2"/>
      </rPr>
      <t>JBA</t>
    </r>
    <r>
      <rPr>
        <sz val="8"/>
        <rFont val="メイリオ"/>
        <family val="3"/>
        <charset val="128"/>
      </rPr>
      <t>除く）　</t>
    </r>
    <r>
      <rPr>
        <sz val="8"/>
        <rFont val="Arial"/>
        <family val="2"/>
      </rPr>
      <t>Auction Sites (excl. JBA)</t>
    </r>
    <rPh sb="0" eb="2">
      <t>カイジョウ</t>
    </rPh>
    <rPh sb="2" eb="3">
      <t>スウ</t>
    </rPh>
    <phoneticPr fontId="17"/>
  </si>
  <si>
    <r>
      <rPr>
        <sz val="8"/>
        <rFont val="メイリオ"/>
        <family val="3"/>
        <charset val="128"/>
      </rPr>
      <t>従業員数　</t>
    </r>
    <r>
      <rPr>
        <sz val="8"/>
        <rFont val="Arial"/>
        <family val="2"/>
      </rPr>
      <t>Employees</t>
    </r>
    <rPh sb="0" eb="3">
      <t>ジュウギョウイン</t>
    </rPh>
    <rPh sb="3" eb="4">
      <t>スウ</t>
    </rPh>
    <phoneticPr fontId="17"/>
  </si>
  <si>
    <r>
      <rPr>
        <sz val="8"/>
        <rFont val="メイリオ"/>
        <family val="3"/>
        <charset val="128"/>
      </rPr>
      <t>　企業系　</t>
    </r>
    <r>
      <rPr>
        <sz val="8"/>
        <rFont val="Arial"/>
        <family val="2"/>
      </rPr>
      <t>Company-affiliated</t>
    </r>
    <rPh sb="1" eb="3">
      <t>キギョウ</t>
    </rPh>
    <rPh sb="3" eb="4">
      <t>ケイ</t>
    </rPh>
    <phoneticPr fontId="17"/>
  </si>
  <si>
    <r>
      <rPr>
        <sz val="8"/>
        <rFont val="メイリオ"/>
        <family val="3"/>
        <charset val="128"/>
      </rPr>
      <t>　</t>
    </r>
    <r>
      <rPr>
        <sz val="8"/>
        <rFont val="Arial"/>
        <family val="2"/>
      </rPr>
      <t>JU</t>
    </r>
    <r>
      <rPr>
        <sz val="8"/>
        <rFont val="メイリオ"/>
        <family val="3"/>
        <charset val="128"/>
      </rPr>
      <t>系　</t>
    </r>
    <r>
      <rPr>
        <sz val="8"/>
        <rFont val="Arial"/>
        <family val="2"/>
      </rPr>
      <t>JU-affiliated</t>
    </r>
    <rPh sb="3" eb="4">
      <t>ケイ</t>
    </rPh>
    <phoneticPr fontId="17"/>
  </si>
  <si>
    <r>
      <rPr>
        <sz val="8"/>
        <rFont val="メイリオ"/>
        <family val="3"/>
        <charset val="128"/>
      </rPr>
      <t>（構成比　</t>
    </r>
    <r>
      <rPr>
        <sz val="8"/>
        <rFont val="Arial"/>
        <family val="2"/>
      </rPr>
      <t>Share</t>
    </r>
    <r>
      <rPr>
        <sz val="8"/>
        <rFont val="メイリオ"/>
        <family val="3"/>
        <charset val="128"/>
      </rPr>
      <t>）</t>
    </r>
    <rPh sb="1" eb="4">
      <t>コウセイヒ</t>
    </rPh>
    <phoneticPr fontId="17"/>
  </si>
  <si>
    <r>
      <t>(</t>
    </r>
    <r>
      <rPr>
        <sz val="8"/>
        <rFont val="メイリオ"/>
        <family val="3"/>
        <charset val="128"/>
      </rPr>
      <t>出所：</t>
    </r>
    <r>
      <rPr>
        <sz val="8"/>
        <rFont val="Arial"/>
        <family val="2"/>
      </rPr>
      <t>(</t>
    </r>
    <r>
      <rPr>
        <sz val="8"/>
        <rFont val="メイリオ"/>
        <family val="3"/>
        <charset val="128"/>
      </rPr>
      <t>株</t>
    </r>
    <r>
      <rPr>
        <sz val="8"/>
        <rFont val="Arial"/>
        <family val="2"/>
      </rPr>
      <t>)</t>
    </r>
    <r>
      <rPr>
        <sz val="8"/>
        <rFont val="メイリオ"/>
        <family val="3"/>
        <charset val="128"/>
      </rPr>
      <t>ユーストカー</t>
    </r>
    <r>
      <rPr>
        <sz val="8"/>
        <rFont val="Arial"/>
        <family val="2"/>
      </rPr>
      <t>)</t>
    </r>
    <r>
      <rPr>
        <sz val="8"/>
        <rFont val="メイリオ"/>
        <family val="3"/>
        <charset val="128"/>
      </rPr>
      <t>　</t>
    </r>
    <r>
      <rPr>
        <sz val="8"/>
        <rFont val="Arial"/>
        <family val="2"/>
      </rPr>
      <t xml:space="preserve"> (Source: USEDCAR Co., Ltd.)</t>
    </r>
    <phoneticPr fontId="17"/>
  </si>
  <si>
    <r>
      <rPr>
        <sz val="10"/>
        <rFont val="ＭＳ Ｐゴシック"/>
        <family val="3"/>
        <charset val="128"/>
      </rPr>
      <t>出品台数　</t>
    </r>
    <r>
      <rPr>
        <sz val="10"/>
        <rFont val="Arial"/>
        <family val="2"/>
      </rPr>
      <t>No. of Consigned Vehicles</t>
    </r>
    <rPh sb="0" eb="2">
      <t>シュッピン</t>
    </rPh>
    <rPh sb="2" eb="4">
      <t>ダイスウ</t>
    </rPh>
    <phoneticPr fontId="17"/>
  </si>
  <si>
    <r>
      <rPr>
        <sz val="10"/>
        <rFont val="ＭＳ Ｐゴシック"/>
        <family val="3"/>
        <charset val="128"/>
      </rPr>
      <t>成約台数　</t>
    </r>
    <r>
      <rPr>
        <sz val="10"/>
        <rFont val="Arial"/>
        <family val="2"/>
      </rPr>
      <t>No. of Contracted Vehicles</t>
    </r>
    <rPh sb="0" eb="2">
      <t>セイヤク</t>
    </rPh>
    <rPh sb="2" eb="4">
      <t>ダイスウ</t>
    </rPh>
    <phoneticPr fontId="17"/>
  </si>
  <si>
    <r>
      <rPr>
        <sz val="10"/>
        <rFont val="ＭＳ Ｐゴシック"/>
        <family val="3"/>
        <charset val="128"/>
      </rPr>
      <t>成約率　</t>
    </r>
    <r>
      <rPr>
        <sz val="10"/>
        <rFont val="Arial"/>
        <family val="2"/>
      </rPr>
      <t>Contract Completion Rate</t>
    </r>
    <rPh sb="0" eb="2">
      <t>セイヤク</t>
    </rPh>
    <rPh sb="2" eb="3">
      <t>リツ</t>
    </rPh>
    <phoneticPr fontId="17"/>
  </si>
  <si>
    <r>
      <rPr>
        <sz val="8"/>
        <rFont val="メイリオ"/>
        <family val="3"/>
        <charset val="128"/>
      </rPr>
      <t>資源リサイクル</t>
    </r>
    <r>
      <rPr>
        <sz val="8"/>
        <rFont val="Arial"/>
        <family val="3"/>
      </rPr>
      <t xml:space="preserve">
</t>
    </r>
    <r>
      <rPr>
        <sz val="8"/>
        <rFont val="Arial"/>
        <family val="2"/>
      </rPr>
      <t>Resource Recycling</t>
    </r>
    <rPh sb="0" eb="2">
      <t>シゲン</t>
    </rPh>
    <phoneticPr fontId="17"/>
  </si>
  <si>
    <r>
      <rPr>
        <sz val="8"/>
        <rFont val="メイリオ"/>
        <family val="3"/>
        <charset val="128"/>
      </rPr>
      <t>リサイクル　計</t>
    </r>
    <r>
      <rPr>
        <sz val="8"/>
        <rFont val="Arial"/>
        <family val="3"/>
      </rPr>
      <t xml:space="preserve">
</t>
    </r>
    <r>
      <rPr>
        <sz val="8"/>
        <rFont val="Arial"/>
        <family val="2"/>
      </rPr>
      <t>Recycling Business Total</t>
    </r>
    <rPh sb="6" eb="7">
      <t>ケイ</t>
    </rPh>
    <phoneticPr fontId="17"/>
  </si>
  <si>
    <r>
      <rPr>
        <sz val="10"/>
        <rFont val="メイリオ"/>
        <family val="3"/>
        <charset val="128"/>
      </rPr>
      <t>リサイクル　計　営業利益率
Recycling</t>
    </r>
    <r>
      <rPr>
        <sz val="10"/>
        <rFont val="Arial"/>
        <family val="2"/>
      </rPr>
      <t xml:space="preserve"> Business Total Operating Margin</t>
    </r>
    <phoneticPr fontId="17"/>
  </si>
  <si>
    <r>
      <rPr>
        <sz val="8"/>
        <color theme="0"/>
        <rFont val="メイリオ"/>
        <family val="3"/>
        <charset val="128"/>
      </rPr>
      <t>実績</t>
    </r>
    <r>
      <rPr>
        <sz val="8"/>
        <color theme="0"/>
        <rFont val="Arial"/>
        <family val="2"/>
      </rPr>
      <t xml:space="preserve">  Result</t>
    </r>
    <rPh sb="0" eb="2">
      <t>ジッセキ</t>
    </rPh>
    <phoneticPr fontId="29"/>
  </si>
  <si>
    <r>
      <rPr>
        <sz val="8"/>
        <color theme="0"/>
        <rFont val="メイリオ"/>
        <family val="3"/>
        <charset val="128"/>
      </rPr>
      <t>計画</t>
    </r>
    <r>
      <rPr>
        <sz val="8"/>
        <color theme="0"/>
        <rFont val="Arial"/>
        <family val="2"/>
      </rPr>
      <t xml:space="preserve">  Plan</t>
    </r>
    <phoneticPr fontId="23"/>
  </si>
  <si>
    <r>
      <rPr>
        <sz val="8"/>
        <color theme="0"/>
        <rFont val="メイリオ"/>
        <family val="3"/>
        <charset val="128"/>
      </rPr>
      <t>増減率</t>
    </r>
    <rPh sb="0" eb="2">
      <t>ゾウゲン</t>
    </rPh>
    <rPh sb="2" eb="3">
      <t>リツ</t>
    </rPh>
    <phoneticPr fontId="29"/>
  </si>
  <si>
    <r>
      <t>(</t>
    </r>
    <r>
      <rPr>
        <b/>
        <sz val="8"/>
        <rFont val="メイリオ"/>
        <family val="3"/>
        <charset val="128"/>
      </rPr>
      <t>オートオークション　</t>
    </r>
    <r>
      <rPr>
        <b/>
        <sz val="8"/>
        <rFont val="Arial"/>
        <family val="2"/>
      </rPr>
      <t>Auto Auction Business</t>
    </r>
    <r>
      <rPr>
        <b/>
        <sz val="8"/>
        <rFont val="メイリオ"/>
        <family val="3"/>
        <charset val="128"/>
      </rPr>
      <t>）</t>
    </r>
  </si>
  <si>
    <r>
      <t>(</t>
    </r>
    <r>
      <rPr>
        <b/>
        <sz val="8"/>
        <rFont val="メイリオ"/>
        <family val="3"/>
        <charset val="128"/>
      </rPr>
      <t>その他　</t>
    </r>
    <r>
      <rPr>
        <b/>
        <sz val="8"/>
        <rFont val="Arial"/>
        <family val="2"/>
      </rPr>
      <t>Other Business)</t>
    </r>
    <rPh sb="3" eb="4">
      <t>タ</t>
    </rPh>
    <phoneticPr fontId="14"/>
  </si>
  <si>
    <r>
      <rPr>
        <sz val="8"/>
        <rFont val="メイリオ"/>
        <family val="3"/>
        <charset val="128"/>
      </rPr>
      <t>　合計　</t>
    </r>
    <r>
      <rPr>
        <sz val="8"/>
        <rFont val="Arial"/>
        <family val="2"/>
      </rPr>
      <t>Total</t>
    </r>
    <rPh sb="1" eb="3">
      <t>ゴウケイ</t>
    </rPh>
    <phoneticPr fontId="17"/>
  </si>
  <si>
    <r>
      <t xml:space="preserve"> </t>
    </r>
    <r>
      <rPr>
        <sz val="9"/>
        <rFont val="メイリオ"/>
        <family val="3"/>
        <charset val="128"/>
      </rPr>
      <t>売上高　</t>
    </r>
    <r>
      <rPr>
        <sz val="9"/>
        <rFont val="Arial"/>
        <family val="2"/>
      </rPr>
      <t>Net Sales</t>
    </r>
    <rPh sb="1" eb="3">
      <t>ウリアゲ</t>
    </rPh>
    <rPh sb="3" eb="4">
      <t>ダカ</t>
    </rPh>
    <phoneticPr fontId="17"/>
  </si>
  <si>
    <r>
      <t xml:space="preserve"> </t>
    </r>
    <r>
      <rPr>
        <sz val="9"/>
        <rFont val="メイリオ"/>
        <family val="3"/>
        <charset val="128"/>
      </rPr>
      <t>営業利益　</t>
    </r>
    <r>
      <rPr>
        <sz val="9"/>
        <rFont val="Arial"/>
        <family val="2"/>
      </rPr>
      <t>Operating Profit</t>
    </r>
    <rPh sb="1" eb="3">
      <t>エイギョウ</t>
    </rPh>
    <rPh sb="3" eb="5">
      <t>リエキ</t>
    </rPh>
    <phoneticPr fontId="17"/>
  </si>
  <si>
    <r>
      <t xml:space="preserve"> </t>
    </r>
    <r>
      <rPr>
        <sz val="9"/>
        <rFont val="メイリオ"/>
        <family val="3"/>
        <charset val="128"/>
      </rPr>
      <t>営業利益率　</t>
    </r>
    <r>
      <rPr>
        <sz val="9"/>
        <rFont val="Arial"/>
        <family val="2"/>
      </rPr>
      <t>Operating Margin</t>
    </r>
    <rPh sb="1" eb="3">
      <t>エイギョウ</t>
    </rPh>
    <rPh sb="3" eb="5">
      <t>リエキ</t>
    </rPh>
    <rPh sb="5" eb="6">
      <t>リツ</t>
    </rPh>
    <phoneticPr fontId="17"/>
  </si>
  <si>
    <r>
      <rPr>
        <sz val="9"/>
        <rFont val="メイリオ"/>
        <family val="3"/>
        <charset val="128"/>
      </rPr>
      <t>　出品台数　</t>
    </r>
    <r>
      <rPr>
        <sz val="9"/>
        <rFont val="Arial"/>
        <family val="2"/>
      </rPr>
      <t>No. of Consigned Vehicles</t>
    </r>
    <rPh sb="1" eb="3">
      <t>シュッピン</t>
    </rPh>
    <rPh sb="3" eb="5">
      <t>ダイスウ</t>
    </rPh>
    <phoneticPr fontId="17"/>
  </si>
  <si>
    <r>
      <rPr>
        <sz val="9"/>
        <rFont val="メイリオ"/>
        <family val="3"/>
        <charset val="128"/>
      </rPr>
      <t>　成約台数　</t>
    </r>
    <r>
      <rPr>
        <sz val="9"/>
        <rFont val="Arial"/>
        <family val="2"/>
      </rPr>
      <t>No. of Contracted Vehicles</t>
    </r>
    <rPh sb="1" eb="3">
      <t>セイヤク</t>
    </rPh>
    <rPh sb="3" eb="5">
      <t>ダイスウ</t>
    </rPh>
    <phoneticPr fontId="17"/>
  </si>
  <si>
    <r>
      <rPr>
        <sz val="9"/>
        <rFont val="メイリオ"/>
        <family val="3"/>
        <charset val="128"/>
      </rPr>
      <t>　成約率　</t>
    </r>
    <r>
      <rPr>
        <sz val="9"/>
        <rFont val="Arial"/>
        <family val="2"/>
      </rPr>
      <t>Contract Completion Rate</t>
    </r>
    <rPh sb="1" eb="3">
      <t>セイヤク</t>
    </rPh>
    <rPh sb="3" eb="4">
      <t>リツ</t>
    </rPh>
    <phoneticPr fontId="17"/>
  </si>
  <si>
    <r>
      <t xml:space="preserve"> </t>
    </r>
    <r>
      <rPr>
        <sz val="8"/>
        <rFont val="メイリオ"/>
        <family val="3"/>
        <charset val="128"/>
      </rPr>
      <t>出品台数　</t>
    </r>
    <r>
      <rPr>
        <sz val="8"/>
        <rFont val="Arial"/>
        <family val="2"/>
      </rPr>
      <t>No. of Consigned Vehicles</t>
    </r>
    <rPh sb="1" eb="3">
      <t>シュッピン</t>
    </rPh>
    <rPh sb="3" eb="5">
      <t>ダイスウ</t>
    </rPh>
    <phoneticPr fontId="17"/>
  </si>
  <si>
    <r>
      <t xml:space="preserve"> </t>
    </r>
    <r>
      <rPr>
        <sz val="8"/>
        <rFont val="メイリオ"/>
        <family val="3"/>
        <charset val="128"/>
      </rPr>
      <t>成約台数　</t>
    </r>
    <r>
      <rPr>
        <sz val="8"/>
        <rFont val="Arial"/>
        <family val="2"/>
      </rPr>
      <t>No. of Contracted Vehicles</t>
    </r>
    <rPh sb="1" eb="3">
      <t>セイヤク</t>
    </rPh>
    <rPh sb="3" eb="5">
      <t>ダイスウ</t>
    </rPh>
    <phoneticPr fontId="17"/>
  </si>
  <si>
    <r>
      <t xml:space="preserve"> </t>
    </r>
    <r>
      <rPr>
        <sz val="8"/>
        <rFont val="メイリオ"/>
        <family val="3"/>
        <charset val="128"/>
      </rPr>
      <t>成約率　</t>
    </r>
    <r>
      <rPr>
        <sz val="8"/>
        <rFont val="Arial"/>
        <family val="2"/>
      </rPr>
      <t>Contract Completion Rate</t>
    </r>
    <rPh sb="1" eb="3">
      <t>セイヤク</t>
    </rPh>
    <rPh sb="3" eb="4">
      <t>リツ</t>
    </rPh>
    <phoneticPr fontId="17"/>
  </si>
  <si>
    <r>
      <rPr>
        <sz val="7"/>
        <rFont val="メイリオ"/>
        <family val="3"/>
        <charset val="128"/>
      </rPr>
      <t>※低額車の定義を見直したことにともない、</t>
    </r>
    <r>
      <rPr>
        <sz val="7"/>
        <rFont val="Arial"/>
        <family val="2"/>
      </rPr>
      <t>2019.3</t>
    </r>
    <r>
      <rPr>
        <sz val="7"/>
        <rFont val="メイリオ"/>
        <family val="3"/>
        <charset val="128"/>
      </rPr>
      <t>期以前の</t>
    </r>
    <r>
      <rPr>
        <sz val="7"/>
        <rFont val="Arial"/>
        <family val="2"/>
      </rPr>
      <t>1</t>
    </r>
    <r>
      <rPr>
        <sz val="7"/>
        <rFont val="メイリオ"/>
        <family val="3"/>
        <charset val="128"/>
      </rPr>
      <t>台当たり手数料</t>
    </r>
    <r>
      <rPr>
        <sz val="7"/>
        <rFont val="Arial"/>
        <family val="2"/>
      </rPr>
      <t xml:space="preserve"> </t>
    </r>
    <r>
      <rPr>
        <sz val="7"/>
        <rFont val="メイリオ"/>
        <family val="3"/>
        <charset val="128"/>
      </rPr>
      <t>低額車除く（</t>
    </r>
    <r>
      <rPr>
        <sz val="7"/>
        <rFont val="Arial"/>
        <family val="2"/>
      </rPr>
      <t>JBA</t>
    </r>
    <r>
      <rPr>
        <sz val="7"/>
        <rFont val="メイリオ"/>
        <family val="3"/>
        <charset val="128"/>
      </rPr>
      <t>除く）は、遡及して修正表示しております。</t>
    </r>
    <rPh sb="1" eb="3">
      <t>テイガク</t>
    </rPh>
    <rPh sb="3" eb="4">
      <t>シャ</t>
    </rPh>
    <rPh sb="5" eb="7">
      <t>テイギ</t>
    </rPh>
    <rPh sb="8" eb="10">
      <t>ミナオ</t>
    </rPh>
    <rPh sb="26" eb="27">
      <t>キ</t>
    </rPh>
    <rPh sb="27" eb="29">
      <t>イゼン</t>
    </rPh>
    <rPh sb="31" eb="32">
      <t>ダイ</t>
    </rPh>
    <rPh sb="32" eb="33">
      <t>ア</t>
    </rPh>
    <rPh sb="35" eb="38">
      <t>テスウリョウ</t>
    </rPh>
    <rPh sb="39" eb="41">
      <t>テイガク</t>
    </rPh>
    <rPh sb="41" eb="42">
      <t>シャ</t>
    </rPh>
    <rPh sb="42" eb="43">
      <t>ノゾ</t>
    </rPh>
    <rPh sb="48" eb="49">
      <t>ノゾ</t>
    </rPh>
    <rPh sb="53" eb="55">
      <t>ソキュウ</t>
    </rPh>
    <rPh sb="57" eb="59">
      <t>シュウセイ</t>
    </rPh>
    <rPh sb="59" eb="61">
      <t>ヒョウジ</t>
    </rPh>
    <phoneticPr fontId="17"/>
  </si>
  <si>
    <r>
      <t xml:space="preserve"> *Fees per Vehicle (excl. JBA) for the periods before 2019.3 are retroactively adjusted to conform to the revised definition of Lower-priced vehicles.</t>
    </r>
    <r>
      <rPr>
        <sz val="7"/>
        <rFont val="Yu Gothic"/>
        <family val="2"/>
        <charset val="128"/>
      </rPr>
      <t>　</t>
    </r>
    <phoneticPr fontId="17"/>
  </si>
  <si>
    <r>
      <rPr>
        <sz val="6"/>
        <rFont val="メイリオ"/>
        <family val="3"/>
        <charset val="128"/>
      </rPr>
      <t>※</t>
    </r>
    <r>
      <rPr>
        <sz val="6"/>
        <rFont val="Arial"/>
        <family val="2"/>
      </rPr>
      <t>CIS</t>
    </r>
    <r>
      <rPr>
        <sz val="6"/>
        <rFont val="メイリオ"/>
        <family val="3"/>
        <charset val="128"/>
      </rPr>
      <t>（インターネット）会員および</t>
    </r>
    <r>
      <rPr>
        <sz val="6"/>
        <rFont val="Arial"/>
        <family val="2"/>
      </rPr>
      <t>TV</t>
    </r>
    <r>
      <rPr>
        <sz val="6"/>
        <rFont val="メイリオ"/>
        <family val="3"/>
        <charset val="128"/>
      </rPr>
      <t>（衛星）会員への入会条件として現車会員であることが求められるため、</t>
    </r>
    <r>
      <rPr>
        <sz val="6"/>
        <rFont val="Arial"/>
        <family val="2"/>
      </rPr>
      <t>CIS</t>
    </r>
    <r>
      <rPr>
        <sz val="6"/>
        <rFont val="メイリオ"/>
        <family val="3"/>
        <charset val="128"/>
      </rPr>
      <t>（インターネット）会員・</t>
    </r>
    <r>
      <rPr>
        <sz val="6"/>
        <rFont val="Arial"/>
        <family val="2"/>
      </rPr>
      <t>TV</t>
    </r>
    <r>
      <rPr>
        <sz val="6"/>
        <rFont val="メイリオ"/>
        <family val="3"/>
        <charset val="128"/>
      </rPr>
      <t>（衛星）会員は必ず現車会員となります。</t>
    </r>
    <rPh sb="21" eb="23">
      <t>エイセイ</t>
    </rPh>
    <rPh sb="71" eb="73">
      <t>エイセイ</t>
    </rPh>
    <phoneticPr fontId="17"/>
  </si>
  <si>
    <t>※CIS（インターネット）およびTV（衛星）による落札を「外部落札」と表します。</t>
    <rPh sb="19" eb="21">
      <t>エイセイ</t>
    </rPh>
    <rPh sb="25" eb="27">
      <t>ラクサツ</t>
    </rPh>
    <rPh sb="29" eb="31">
      <t>ガイブ</t>
    </rPh>
    <rPh sb="31" eb="33">
      <t>ラクサツ</t>
    </rPh>
    <rPh sb="35" eb="36">
      <t>アラワ</t>
    </rPh>
    <phoneticPr fontId="14"/>
  </si>
  <si>
    <r>
      <t xml:space="preserve">プラントリサイクル
</t>
    </r>
    <r>
      <rPr>
        <sz val="8"/>
        <rFont val="Arial"/>
        <family val="2"/>
      </rPr>
      <t>Industrial Plant Recycling</t>
    </r>
    <phoneticPr fontId="17"/>
  </si>
  <si>
    <r>
      <rPr>
        <sz val="8"/>
        <rFont val="メイリオ"/>
        <family val="3"/>
        <charset val="128"/>
      </rPr>
      <t>最低値　</t>
    </r>
    <r>
      <rPr>
        <sz val="8"/>
        <rFont val="Arial"/>
        <family val="2"/>
      </rPr>
      <t>Lowest</t>
    </r>
    <phoneticPr fontId="29"/>
  </si>
  <si>
    <r>
      <rPr>
        <sz val="8"/>
        <rFont val="メイリオ"/>
        <family val="3"/>
        <charset val="128"/>
      </rPr>
      <t>最高値　</t>
    </r>
    <r>
      <rPr>
        <sz val="8"/>
        <rFont val="Arial"/>
        <family val="2"/>
      </rPr>
      <t>Highest</t>
    </r>
    <phoneticPr fontId="29"/>
  </si>
  <si>
    <r>
      <rPr>
        <sz val="8"/>
        <rFont val="メイリオ"/>
        <family val="3"/>
        <charset val="128"/>
      </rPr>
      <t>平均値　</t>
    </r>
    <r>
      <rPr>
        <sz val="8"/>
        <rFont val="Arial"/>
        <family val="2"/>
      </rPr>
      <t>Average</t>
    </r>
    <phoneticPr fontId="29"/>
  </si>
  <si>
    <r>
      <t xml:space="preserve"> </t>
    </r>
    <r>
      <rPr>
        <sz val="8"/>
        <rFont val="メイリオ"/>
        <family val="3"/>
        <charset val="128"/>
      </rPr>
      <t>特別損失　</t>
    </r>
    <r>
      <rPr>
        <sz val="8"/>
        <rFont val="Arial"/>
        <family val="2"/>
      </rPr>
      <t>Extraordinary Losses</t>
    </r>
    <phoneticPr fontId="18"/>
  </si>
  <si>
    <r>
      <t xml:space="preserve"> </t>
    </r>
    <r>
      <rPr>
        <sz val="8"/>
        <rFont val="メイリオ"/>
        <family val="3"/>
        <charset val="128"/>
      </rPr>
      <t>特別利益　</t>
    </r>
    <r>
      <rPr>
        <sz val="8"/>
        <rFont val="Arial"/>
        <family val="2"/>
      </rPr>
      <t>Extraordinary Income</t>
    </r>
    <phoneticPr fontId="18"/>
  </si>
  <si>
    <r>
      <t xml:space="preserve"> </t>
    </r>
    <r>
      <rPr>
        <sz val="8"/>
        <rFont val="メイリオ"/>
        <family val="3"/>
        <charset val="128"/>
      </rPr>
      <t>経常利益　</t>
    </r>
    <r>
      <rPr>
        <sz val="8"/>
        <rFont val="Arial"/>
        <family val="2"/>
      </rPr>
      <t>Ordinary Profit</t>
    </r>
    <phoneticPr fontId="18"/>
  </si>
  <si>
    <r>
      <t xml:space="preserve"> </t>
    </r>
    <r>
      <rPr>
        <sz val="8"/>
        <rFont val="メイリオ"/>
        <family val="3"/>
        <charset val="128"/>
      </rPr>
      <t>営業外費用　</t>
    </r>
    <r>
      <rPr>
        <sz val="8"/>
        <rFont val="Arial"/>
        <family val="2"/>
      </rPr>
      <t>Non-operating Expenses</t>
    </r>
    <phoneticPr fontId="18"/>
  </si>
  <si>
    <r>
      <t xml:space="preserve"> </t>
    </r>
    <r>
      <rPr>
        <sz val="8"/>
        <rFont val="メイリオ"/>
        <family val="3"/>
        <charset val="128"/>
      </rPr>
      <t>営業外収益　</t>
    </r>
    <r>
      <rPr>
        <sz val="8"/>
        <rFont val="Arial"/>
        <family val="2"/>
      </rPr>
      <t>Non-operating Income</t>
    </r>
    <phoneticPr fontId="18"/>
  </si>
  <si>
    <t>※「『税効果会計に係る会計基準』の一部改正」（企業会計基準第28号 平成30年2月16日）等を2019.3期から適用しており、2018.3期の資産、負債は遡及して修正表示しております。</t>
    <phoneticPr fontId="17"/>
  </si>
  <si>
    <t>* Partial Amendments to Accounting Standard for Tax Effect Accounting, etc. (ASBJ Statement No. 28, February 16, 2018) are applied from the fiscal year ended March 2019. The values of assets and liabilities for the fiscal year ended March 2018 are retroactively adjusted.</t>
    <phoneticPr fontId="17"/>
  </si>
  <si>
    <t>(Source: Trade Statistics of Japan Ministry of Finance)</t>
    <phoneticPr fontId="17"/>
  </si>
  <si>
    <r>
      <t>JU-affiliated</t>
    </r>
    <r>
      <rPr>
        <sz val="5"/>
        <rFont val="メイリオ"/>
        <family val="3"/>
        <charset val="128"/>
      </rPr>
      <t>：</t>
    </r>
    <r>
      <rPr>
        <sz val="5"/>
        <rFont val="Arial"/>
        <family val="2"/>
      </rPr>
      <t>Sites operated by prefectural used car sales associations of JAPAN USED CAR DEALERS ASSOCIATION</t>
    </r>
    <r>
      <rPr>
        <sz val="5"/>
        <rFont val="メイリオ"/>
        <family val="3"/>
        <charset val="128"/>
      </rPr>
      <t>．</t>
    </r>
    <phoneticPr fontId="17"/>
  </si>
  <si>
    <t>企業系：オークション会場の経営を主業とする企業により運営されている会場</t>
    <rPh sb="0" eb="2">
      <t>キギョウ</t>
    </rPh>
    <rPh sb="2" eb="3">
      <t>ケイ</t>
    </rPh>
    <rPh sb="10" eb="12">
      <t>カイジョウ</t>
    </rPh>
    <rPh sb="13" eb="15">
      <t>ケイエイ</t>
    </rPh>
    <rPh sb="16" eb="17">
      <t>シュ</t>
    </rPh>
    <rPh sb="17" eb="18">
      <t>ギョウ</t>
    </rPh>
    <rPh sb="21" eb="23">
      <t>キギョウ</t>
    </rPh>
    <rPh sb="26" eb="28">
      <t>ウンエイ</t>
    </rPh>
    <rPh sb="33" eb="35">
      <t>カイジョウ</t>
    </rPh>
    <phoneticPr fontId="17"/>
  </si>
  <si>
    <r>
      <rPr>
        <sz val="8"/>
        <rFont val="メイリオ"/>
        <family val="3"/>
        <charset val="128"/>
      </rPr>
      <t>　その他　</t>
    </r>
    <r>
      <rPr>
        <sz val="8"/>
        <rFont val="Arial"/>
        <family val="2"/>
      </rPr>
      <t>Other</t>
    </r>
    <phoneticPr fontId="29"/>
  </si>
  <si>
    <r>
      <rPr>
        <sz val="8"/>
        <rFont val="メイリオ"/>
        <family val="3"/>
        <charset val="128"/>
      </rPr>
      <t>　合計　</t>
    </r>
    <r>
      <rPr>
        <sz val="8"/>
        <rFont val="Arial"/>
        <family val="2"/>
      </rPr>
      <t>Total</t>
    </r>
    <phoneticPr fontId="29"/>
  </si>
  <si>
    <r>
      <t>USS</t>
    </r>
    <r>
      <rPr>
        <b/>
        <sz val="8"/>
        <rFont val="メイリオ"/>
        <family val="3"/>
        <charset val="128"/>
      </rPr>
      <t>東京　</t>
    </r>
    <r>
      <rPr>
        <b/>
        <sz val="8"/>
        <rFont val="Arial"/>
        <family val="2"/>
      </rPr>
      <t>USS Tokyo</t>
    </r>
    <phoneticPr fontId="29"/>
  </si>
  <si>
    <r>
      <t>USS</t>
    </r>
    <r>
      <rPr>
        <b/>
        <sz val="8"/>
        <rFont val="メイリオ"/>
        <family val="3"/>
        <charset val="128"/>
      </rPr>
      <t>名古屋　</t>
    </r>
    <r>
      <rPr>
        <b/>
        <sz val="8"/>
        <rFont val="Arial"/>
        <family val="2"/>
      </rPr>
      <t>USS Nagoya</t>
    </r>
    <phoneticPr fontId="29"/>
  </si>
  <si>
    <r>
      <rPr>
        <sz val="8"/>
        <rFont val="メイリオ"/>
        <family val="3"/>
        <charset val="128"/>
      </rPr>
      <t>その他　</t>
    </r>
    <r>
      <rPr>
        <sz val="8"/>
        <rFont val="Arial"/>
        <family val="2"/>
      </rPr>
      <t>Other</t>
    </r>
    <rPh sb="2" eb="3">
      <t>タ</t>
    </rPh>
    <phoneticPr fontId="17"/>
  </si>
  <si>
    <r>
      <rPr>
        <sz val="8"/>
        <rFont val="メイリオ"/>
        <family val="3"/>
        <charset val="128"/>
      </rPr>
      <t>業界合計　</t>
    </r>
    <r>
      <rPr>
        <sz val="8"/>
        <rFont val="Arial"/>
        <family val="2"/>
      </rPr>
      <t>Industry Total</t>
    </r>
    <phoneticPr fontId="17"/>
  </si>
  <si>
    <r>
      <t>(</t>
    </r>
    <r>
      <rPr>
        <sz val="8"/>
        <rFont val="メイリオ"/>
        <family val="3"/>
        <charset val="128"/>
      </rPr>
      <t>増減率　</t>
    </r>
    <r>
      <rPr>
        <sz val="8"/>
        <rFont val="Arial"/>
        <family val="2"/>
      </rPr>
      <t>YoY Changes)</t>
    </r>
    <phoneticPr fontId="17"/>
  </si>
  <si>
    <r>
      <rPr>
        <sz val="8"/>
        <rFont val="メイリオ"/>
        <family val="3"/>
        <charset val="128"/>
      </rPr>
      <t>出品手数料　</t>
    </r>
    <r>
      <rPr>
        <sz val="8"/>
        <rFont val="Arial"/>
        <family val="2"/>
      </rPr>
      <t>Consignment Fees</t>
    </r>
  </si>
  <si>
    <r>
      <rPr>
        <sz val="8"/>
        <rFont val="メイリオ"/>
        <family val="3"/>
        <charset val="128"/>
      </rPr>
      <t>成約手数料　</t>
    </r>
    <r>
      <rPr>
        <sz val="8"/>
        <rFont val="Arial"/>
        <family val="2"/>
      </rPr>
      <t>Contract Completion Fees</t>
    </r>
  </si>
  <si>
    <r>
      <rPr>
        <sz val="8"/>
        <rFont val="メイリオ"/>
        <family val="3"/>
        <charset val="128"/>
      </rPr>
      <t>落札手数料　</t>
    </r>
    <r>
      <rPr>
        <sz val="8"/>
        <rFont val="Arial"/>
        <family val="2"/>
      </rPr>
      <t>Successful Bid Fees</t>
    </r>
  </si>
  <si>
    <r>
      <rPr>
        <sz val="8"/>
        <rFont val="メイリオ"/>
        <family val="3"/>
        <charset val="128"/>
      </rPr>
      <t>バイクオークション手数料　</t>
    </r>
    <r>
      <rPr>
        <sz val="8"/>
        <rFont val="Arial"/>
        <family val="2"/>
      </rPr>
      <t>Motorcycle Auction Fees</t>
    </r>
  </si>
  <si>
    <r>
      <rPr>
        <sz val="8"/>
        <rFont val="メイリオ"/>
        <family val="3"/>
        <charset val="128"/>
      </rPr>
      <t>商品売上高　</t>
    </r>
    <r>
      <rPr>
        <sz val="8"/>
        <rFont val="Arial"/>
        <family val="2"/>
      </rPr>
      <t>Net Sales of Goods</t>
    </r>
  </si>
  <si>
    <r>
      <rPr>
        <sz val="8"/>
        <rFont val="メイリオ"/>
        <family val="3"/>
        <charset val="128"/>
      </rPr>
      <t>その他の営業収入　</t>
    </r>
    <r>
      <rPr>
        <sz val="8"/>
        <rFont val="Arial"/>
        <family val="2"/>
      </rPr>
      <t>Other Revenues</t>
    </r>
  </si>
  <si>
    <r>
      <rPr>
        <sz val="8"/>
        <rFont val="メイリオ"/>
        <family val="3"/>
        <charset val="128"/>
      </rPr>
      <t>オートオークション計　</t>
    </r>
    <r>
      <rPr>
        <sz val="8"/>
        <rFont val="Arial"/>
        <family val="2"/>
      </rPr>
      <t>Auto Auction Business Total</t>
    </r>
    <rPh sb="9" eb="10">
      <t>ケイ</t>
    </rPh>
    <phoneticPr fontId="14"/>
  </si>
  <si>
    <r>
      <t>(</t>
    </r>
    <r>
      <rPr>
        <b/>
        <sz val="8"/>
        <rFont val="メイリオ"/>
        <family val="3"/>
        <charset val="128"/>
      </rPr>
      <t>リサイクル　</t>
    </r>
    <r>
      <rPr>
        <b/>
        <sz val="8"/>
        <rFont val="Arial"/>
        <family val="2"/>
      </rPr>
      <t xml:space="preserve"> Recycling Business)</t>
    </r>
    <phoneticPr fontId="14"/>
  </si>
  <si>
    <r>
      <rPr>
        <sz val="8"/>
        <rFont val="メイリオ"/>
        <family val="3"/>
        <charset val="128"/>
      </rPr>
      <t>資源リサイクル　</t>
    </r>
    <r>
      <rPr>
        <sz val="8"/>
        <rFont val="Arial"/>
        <family val="2"/>
      </rPr>
      <t>Resource Recycling</t>
    </r>
    <rPh sb="0" eb="2">
      <t>シゲン</t>
    </rPh>
    <phoneticPr fontId="29"/>
  </si>
  <si>
    <r>
      <rPr>
        <sz val="8"/>
        <rFont val="メイリオ"/>
        <family val="3"/>
        <charset val="128"/>
      </rPr>
      <t>中古自動車の輸出手続代行サービス　</t>
    </r>
    <r>
      <rPr>
        <sz val="8"/>
        <rFont val="Arial"/>
        <family val="2"/>
      </rPr>
      <t>Used Vehicle Export Clearing Service</t>
    </r>
  </si>
  <si>
    <r>
      <rPr>
        <sz val="8"/>
        <rFont val="メイリオ"/>
        <family val="3"/>
        <charset val="128"/>
      </rPr>
      <t>その他　</t>
    </r>
    <r>
      <rPr>
        <sz val="8"/>
        <rFont val="Arial"/>
        <family val="2"/>
      </rPr>
      <t>Other Revenues</t>
    </r>
  </si>
  <si>
    <r>
      <rPr>
        <sz val="8"/>
        <rFont val="メイリオ"/>
        <family val="3"/>
        <charset val="128"/>
      </rPr>
      <t>リサイクル計　Recycling</t>
    </r>
    <r>
      <rPr>
        <sz val="8"/>
        <rFont val="Arial"/>
        <family val="2"/>
      </rPr>
      <t xml:space="preserve"> Business Total</t>
    </r>
    <rPh sb="5" eb="6">
      <t>ケイ</t>
    </rPh>
    <phoneticPr fontId="14"/>
  </si>
  <si>
    <r>
      <rPr>
        <sz val="8"/>
        <rFont val="メイリオ"/>
        <family val="3"/>
        <charset val="128"/>
      </rPr>
      <t>リサイクル　</t>
    </r>
    <r>
      <rPr>
        <sz val="8"/>
        <rFont val="Arial"/>
        <family val="2"/>
      </rPr>
      <t>Recycling</t>
    </r>
  </si>
  <si>
    <r>
      <rPr>
        <sz val="8"/>
        <rFont val="メイリオ"/>
        <family val="3"/>
        <charset val="128"/>
      </rPr>
      <t>廃ゴムのリサイクル　</t>
    </r>
    <r>
      <rPr>
        <sz val="8"/>
        <rFont val="Arial"/>
        <family val="2"/>
      </rPr>
      <t>Revenues from Recycling Scrap Rubbers</t>
    </r>
  </si>
  <si>
    <r>
      <rPr>
        <sz val="8"/>
        <rFont val="メイリオ"/>
        <family val="3"/>
        <charset val="128"/>
      </rPr>
      <t>その他計　</t>
    </r>
    <r>
      <rPr>
        <sz val="8"/>
        <rFont val="Arial"/>
        <family val="2"/>
      </rPr>
      <t>Other Business Total</t>
    </r>
    <rPh sb="2" eb="3">
      <t>タ</t>
    </rPh>
    <rPh sb="3" eb="4">
      <t>ケイ</t>
    </rPh>
    <phoneticPr fontId="14"/>
  </si>
  <si>
    <r>
      <rPr>
        <sz val="8"/>
        <rFont val="メイリオ"/>
        <family val="3"/>
        <charset val="128"/>
      </rPr>
      <t>売上高　</t>
    </r>
    <r>
      <rPr>
        <sz val="8"/>
        <rFont val="Arial"/>
        <family val="2"/>
      </rPr>
      <t>Net Sales</t>
    </r>
  </si>
  <si>
    <r>
      <rPr>
        <sz val="8"/>
        <rFont val="メイリオ"/>
        <family val="3"/>
        <charset val="128"/>
      </rPr>
      <t>営業利益　</t>
    </r>
    <r>
      <rPr>
        <sz val="8"/>
        <rFont val="Arial"/>
        <family val="2"/>
      </rPr>
      <t>Operating Profit</t>
    </r>
    <rPh sb="0" eb="2">
      <t>エイギョウ</t>
    </rPh>
    <rPh sb="2" eb="4">
      <t>リエキ</t>
    </rPh>
    <phoneticPr fontId="23"/>
  </si>
  <si>
    <r>
      <rPr>
        <sz val="8"/>
        <rFont val="メイリオ"/>
        <family val="3"/>
        <charset val="128"/>
      </rPr>
      <t>経常利益　</t>
    </r>
    <r>
      <rPr>
        <sz val="8"/>
        <rFont val="Arial"/>
        <family val="2"/>
      </rPr>
      <t>Ordinary Profit</t>
    </r>
  </si>
  <si>
    <r>
      <rPr>
        <sz val="8"/>
        <rFont val="メイリオ"/>
        <family val="3"/>
        <charset val="128"/>
      </rPr>
      <t>親会社株主に帰属する当期純利益　</t>
    </r>
    <r>
      <rPr>
        <sz val="8"/>
        <rFont val="Arial"/>
        <family val="2"/>
      </rPr>
      <t>Profit Attributable to Owners of Parent</t>
    </r>
  </si>
  <si>
    <r>
      <rPr>
        <sz val="8"/>
        <rFont val="メイリオ"/>
        <family val="3"/>
        <charset val="128"/>
      </rPr>
      <t>出品台数　</t>
    </r>
    <r>
      <rPr>
        <sz val="8"/>
        <rFont val="Arial"/>
        <family val="2"/>
      </rPr>
      <t>No. of Consigned Vehicles</t>
    </r>
    <rPh sb="0" eb="2">
      <t>シュッピン</t>
    </rPh>
    <rPh sb="2" eb="4">
      <t>ダイスウ</t>
    </rPh>
    <phoneticPr fontId="14"/>
  </si>
  <si>
    <r>
      <rPr>
        <sz val="8"/>
        <rFont val="メイリオ"/>
        <family val="3"/>
        <charset val="128"/>
      </rPr>
      <t>成約台数　</t>
    </r>
    <r>
      <rPr>
        <sz val="8"/>
        <rFont val="Arial"/>
        <family val="2"/>
      </rPr>
      <t>No. of Contracted Vehicles</t>
    </r>
    <rPh sb="0" eb="2">
      <t>セイヤク</t>
    </rPh>
    <rPh sb="2" eb="4">
      <t>ダイスウ</t>
    </rPh>
    <phoneticPr fontId="29"/>
  </si>
  <si>
    <r>
      <rPr>
        <sz val="8"/>
        <rFont val="メイリオ"/>
        <family val="3"/>
        <charset val="128"/>
      </rPr>
      <t>成約率　</t>
    </r>
    <r>
      <rPr>
        <sz val="8"/>
        <rFont val="Arial"/>
        <family val="2"/>
      </rPr>
      <t>Contract Completion Rate</t>
    </r>
    <rPh sb="0" eb="2">
      <t>セイヤク</t>
    </rPh>
    <rPh sb="2" eb="3">
      <t>リツ</t>
    </rPh>
    <phoneticPr fontId="14"/>
  </si>
  <si>
    <r>
      <t>1</t>
    </r>
    <r>
      <rPr>
        <sz val="8"/>
        <rFont val="メイリオ"/>
        <family val="3"/>
        <charset val="128"/>
      </rPr>
      <t>台当たり出品手数料　</t>
    </r>
    <r>
      <rPr>
        <sz val="8"/>
        <rFont val="Arial"/>
        <family val="2"/>
      </rPr>
      <t>Consignment Fees per Vehicle consigned</t>
    </r>
    <rPh sb="1" eb="2">
      <t>ダイ</t>
    </rPh>
    <rPh sb="2" eb="3">
      <t>ア</t>
    </rPh>
    <rPh sb="5" eb="7">
      <t>シュッピン</t>
    </rPh>
    <rPh sb="7" eb="10">
      <t>テスウリョウ</t>
    </rPh>
    <phoneticPr fontId="14"/>
  </si>
  <si>
    <r>
      <t>1</t>
    </r>
    <r>
      <rPr>
        <sz val="8"/>
        <rFont val="メイリオ"/>
        <family val="3"/>
        <charset val="128"/>
      </rPr>
      <t>台当たり成約手数料　</t>
    </r>
    <r>
      <rPr>
        <sz val="8"/>
        <rFont val="Arial"/>
        <family val="2"/>
      </rPr>
      <t>Contract Completion Fees per Vehicle Contracts completed</t>
    </r>
    <rPh sb="1" eb="2">
      <t>ダイ</t>
    </rPh>
    <rPh sb="2" eb="3">
      <t>ア</t>
    </rPh>
    <rPh sb="5" eb="7">
      <t>セイヤク</t>
    </rPh>
    <rPh sb="7" eb="10">
      <t>テスウリョウ</t>
    </rPh>
    <phoneticPr fontId="14"/>
  </si>
  <si>
    <r>
      <rPr>
        <sz val="8"/>
        <rFont val="メイリオ"/>
        <family val="3"/>
        <charset val="128"/>
      </rPr>
      <t>現車会員数　</t>
    </r>
    <r>
      <rPr>
        <sz val="8"/>
        <rFont val="Arial"/>
        <family val="2"/>
      </rPr>
      <t>On-site Auction Members</t>
    </r>
    <rPh sb="0" eb="1">
      <t>ゲン</t>
    </rPh>
    <rPh sb="1" eb="2">
      <t>シャ</t>
    </rPh>
    <rPh sb="2" eb="5">
      <t>カイインスウ</t>
    </rPh>
    <phoneticPr fontId="14"/>
  </si>
  <si>
    <r>
      <rPr>
        <sz val="8"/>
        <rFont val="メイリオ"/>
        <family val="3"/>
        <charset val="128"/>
      </rPr>
      <t>ラビット店舗数　</t>
    </r>
    <r>
      <rPr>
        <sz val="8"/>
        <rFont val="Arial"/>
        <family val="2"/>
      </rPr>
      <t>Rabbit Chain Shops</t>
    </r>
    <rPh sb="4" eb="7">
      <t>テンポスウ</t>
    </rPh>
    <phoneticPr fontId="14"/>
  </si>
  <si>
    <r>
      <rPr>
        <sz val="8"/>
        <rFont val="メイリオ"/>
        <family val="3"/>
        <charset val="128"/>
      </rPr>
      <t>設備投資（支出ベース）　</t>
    </r>
    <r>
      <rPr>
        <sz val="8"/>
        <rFont val="Arial"/>
        <family val="2"/>
      </rPr>
      <t>Capital Expenditures</t>
    </r>
    <r>
      <rPr>
        <sz val="8"/>
        <rFont val="メイリオ"/>
        <family val="3"/>
        <charset val="128"/>
      </rPr>
      <t>（</t>
    </r>
    <r>
      <rPr>
        <sz val="8"/>
        <rFont val="Arial"/>
        <family val="2"/>
      </rPr>
      <t>Terms of Cash Flows</t>
    </r>
    <r>
      <rPr>
        <sz val="8"/>
        <rFont val="メイリオ"/>
        <family val="3"/>
        <charset val="128"/>
      </rPr>
      <t>）</t>
    </r>
    <rPh sb="0" eb="2">
      <t>セツビ</t>
    </rPh>
    <rPh sb="2" eb="4">
      <t>トウシ</t>
    </rPh>
    <phoneticPr fontId="23"/>
  </si>
  <si>
    <r>
      <rPr>
        <sz val="8"/>
        <rFont val="メイリオ"/>
        <family val="3"/>
        <charset val="128"/>
      </rPr>
      <t>減価償却費　</t>
    </r>
    <r>
      <rPr>
        <sz val="8"/>
        <rFont val="Arial"/>
        <family val="2"/>
      </rPr>
      <t>Depreciation</t>
    </r>
    <rPh sb="0" eb="5">
      <t>ゲンカショウキャクヒ</t>
    </rPh>
    <phoneticPr fontId="23"/>
  </si>
  <si>
    <t>非表示用組み換え</t>
    <rPh sb="0" eb="5">
      <t>ヒヒョウジヨウク</t>
    </rPh>
    <rPh sb="6" eb="7">
      <t>カ</t>
    </rPh>
    <phoneticPr fontId="17"/>
  </si>
  <si>
    <t>（有形固定資産）その他</t>
    <rPh sb="1" eb="3">
      <t>ユウケイ</t>
    </rPh>
    <rPh sb="3" eb="7">
      <t>コテイシサン</t>
    </rPh>
    <rPh sb="10" eb="11">
      <t>タ</t>
    </rPh>
    <phoneticPr fontId="17"/>
  </si>
  <si>
    <t>（投資その他の資産）その他</t>
    <rPh sb="1" eb="3">
      <t>トウシ</t>
    </rPh>
    <rPh sb="5" eb="6">
      <t>タ</t>
    </rPh>
    <rPh sb="7" eb="9">
      <t>シサン</t>
    </rPh>
    <rPh sb="12" eb="13">
      <t>タ</t>
    </rPh>
    <phoneticPr fontId="17"/>
  </si>
  <si>
    <t>（流動負債）その他</t>
    <rPh sb="1" eb="5">
      <t>リュウドウフサイ</t>
    </rPh>
    <rPh sb="8" eb="9">
      <t>タ</t>
    </rPh>
    <phoneticPr fontId="17"/>
  </si>
  <si>
    <t>その他の包括利益累計額</t>
    <rPh sb="2" eb="3">
      <t>タ</t>
    </rPh>
    <rPh sb="4" eb="6">
      <t>ホウカツ</t>
    </rPh>
    <rPh sb="6" eb="8">
      <t>リエキ</t>
    </rPh>
    <rPh sb="8" eb="11">
      <t>ルイケイガク</t>
    </rPh>
    <phoneticPr fontId="17"/>
  </si>
  <si>
    <r>
      <t xml:space="preserve"> </t>
    </r>
    <r>
      <rPr>
        <sz val="8"/>
        <rFont val="メイリオ"/>
        <family val="3"/>
        <charset val="128"/>
      </rPr>
      <t>営業利益または営業損失</t>
    </r>
    <r>
      <rPr>
        <sz val="8"/>
        <rFont val="Arial"/>
        <family val="2"/>
      </rPr>
      <t>(</t>
    </r>
    <r>
      <rPr>
        <sz val="8"/>
        <rFont val="メイリオ"/>
        <family val="3"/>
        <charset val="128"/>
      </rPr>
      <t>▲</t>
    </r>
    <r>
      <rPr>
        <sz val="8"/>
        <rFont val="Arial"/>
        <family val="2"/>
      </rPr>
      <t>) Operating profit (loss)</t>
    </r>
    <rPh sb="1" eb="3">
      <t>エイギョウ</t>
    </rPh>
    <rPh sb="3" eb="5">
      <t>リエキ</t>
    </rPh>
    <rPh sb="8" eb="10">
      <t>エイギョウ</t>
    </rPh>
    <rPh sb="10" eb="12">
      <t>ソンシツ</t>
    </rPh>
    <phoneticPr fontId="29"/>
  </si>
  <si>
    <r>
      <t xml:space="preserve"> </t>
    </r>
    <r>
      <rPr>
        <sz val="8"/>
        <rFont val="メイリオ"/>
        <family val="3"/>
        <charset val="128"/>
        <scheme val="major"/>
      </rPr>
      <t>営業利益または営業損失</t>
    </r>
    <r>
      <rPr>
        <sz val="8"/>
        <rFont val="Arial"/>
        <family val="2"/>
      </rPr>
      <t>(</t>
    </r>
    <r>
      <rPr>
        <sz val="8"/>
        <rFont val="ＭＳ Ｐゴシック"/>
        <family val="3"/>
        <charset val="128"/>
      </rPr>
      <t>▲</t>
    </r>
    <r>
      <rPr>
        <sz val="8"/>
        <rFont val="Arial"/>
        <family val="2"/>
      </rPr>
      <t>) Operating profit (loss)</t>
    </r>
    <phoneticPr fontId="17"/>
  </si>
  <si>
    <t>Ⅰ</t>
    <phoneticPr fontId="29"/>
  </si>
  <si>
    <t>主要データ（年度）</t>
    <rPh sb="0" eb="2">
      <t>シュヨウ</t>
    </rPh>
    <rPh sb="6" eb="8">
      <t>ネンド</t>
    </rPh>
    <phoneticPr fontId="29"/>
  </si>
  <si>
    <t>※自己株式数には、USS従業員持株会専用信託が所有する株式を含めております。</t>
    <phoneticPr fontId="17"/>
  </si>
  <si>
    <t xml:space="preserve">Main Financial Indicators (Fiscal Year) </t>
    <phoneticPr fontId="29"/>
  </si>
  <si>
    <t>* Treasury shares includes shares held by the USS Employee Stock Ownership Plan Trust.</t>
    <phoneticPr fontId="17"/>
  </si>
  <si>
    <t>* Profit for the period up to the fiscal year ended March 2015 is presented as Profit Attributable to Owners of Parent.</t>
    <phoneticPr fontId="17"/>
  </si>
  <si>
    <t>* Partial Amendments to Accounting Standard for Tax Effect Accounting, etc. (ASBJ Statement No. 28, February 16, 2018) are applied from the fiscal year ended March 2019.</t>
    <phoneticPr fontId="17"/>
  </si>
  <si>
    <t>本資料における注記事項は下記のとおりです。</t>
    <rPh sb="0" eb="1">
      <t>ホン</t>
    </rPh>
    <rPh sb="1" eb="3">
      <t>シリョウ</t>
    </rPh>
    <rPh sb="7" eb="9">
      <t>チュウキ</t>
    </rPh>
    <rPh sb="9" eb="11">
      <t>ジコウ</t>
    </rPh>
    <rPh sb="12" eb="14">
      <t>カキ</t>
    </rPh>
    <phoneticPr fontId="29"/>
  </si>
  <si>
    <t>Ⅱ</t>
    <phoneticPr fontId="29"/>
  </si>
  <si>
    <t>オートオークションデータ</t>
    <phoneticPr fontId="29"/>
  </si>
  <si>
    <t>1.業界データ</t>
    <rPh sb="2" eb="4">
      <t>ギョウカイ</t>
    </rPh>
    <phoneticPr fontId="29"/>
  </si>
  <si>
    <t>※バス、トラックを含む台数を記載しております。</t>
    <phoneticPr fontId="17"/>
  </si>
  <si>
    <t>※㈱ユーストカーの公表数値の修正にともない、2021年の企業系の出品台数を遡及修正しております。　</t>
  </si>
  <si>
    <t>Ⅱ</t>
  </si>
  <si>
    <t>Auto Auction Data</t>
  </si>
  <si>
    <t>Auto Auction Data</t>
    <phoneticPr fontId="29"/>
  </si>
  <si>
    <t>1.Industry Data</t>
  </si>
  <si>
    <t>* All kinds of vehicles are listed, including buses and trucks.  (Sources: Japan Automobile Dealers Association, Japan Automobile Manufacturers Association, Japan Light Motor Vehicle and Motorcycle Association, The National Statistics Center)</t>
  </si>
  <si>
    <t>(1) 自動車業界関連指標の推移（暦年）</t>
    <rPh sb="4" eb="7">
      <t>ジドウシャ</t>
    </rPh>
    <rPh sb="7" eb="9">
      <t>ギョウカイ</t>
    </rPh>
    <rPh sb="9" eb="11">
      <t>カンレン</t>
    </rPh>
    <rPh sb="11" eb="13">
      <t>シヒョウ</t>
    </rPh>
    <rPh sb="14" eb="16">
      <t>スイイ</t>
    </rPh>
    <rPh sb="17" eb="19">
      <t>レキネン</t>
    </rPh>
    <phoneticPr fontId="29"/>
  </si>
  <si>
    <t>(3) 業態別オートオークション出品台数（暦年）</t>
    <rPh sb="4" eb="7">
      <t>ギョウタイベツ</t>
    </rPh>
    <rPh sb="16" eb="20">
      <t>シュッピンダイスウ</t>
    </rPh>
    <rPh sb="21" eb="23">
      <t>レキネン</t>
    </rPh>
    <phoneticPr fontId="29"/>
  </si>
  <si>
    <t>(4) オートオークション業界グループ別出品台数シェア（暦年）</t>
    <phoneticPr fontId="29"/>
  </si>
  <si>
    <t>(1) Automobile Industry Statistics (Calendar Year)</t>
    <phoneticPr fontId="29"/>
  </si>
  <si>
    <t xml:space="preserve">(3) Market Share by Auction Site Category (Calendar Year)
</t>
    <phoneticPr fontId="29"/>
  </si>
  <si>
    <t>※㈱ユーストカーの公表数値の修正にともない、2021年のその他の出品台数とグループ別シェアを遡及修正しております。</t>
  </si>
  <si>
    <t xml:space="preserve">(4) Market Share by Auto Auction Industry Group (Calendar Year)
</t>
    <phoneticPr fontId="29"/>
  </si>
  <si>
    <t>オートオークションデータ</t>
  </si>
  <si>
    <t>(5) オートオークション会場出品台数ランキング（暦年）</t>
    <rPh sb="13" eb="15">
      <t>カイジョウ</t>
    </rPh>
    <rPh sb="15" eb="17">
      <t>シュッピン</t>
    </rPh>
    <rPh sb="17" eb="19">
      <t>ダイスウ</t>
    </rPh>
    <rPh sb="25" eb="27">
      <t>レキネン</t>
    </rPh>
    <phoneticPr fontId="29"/>
  </si>
  <si>
    <t xml:space="preserve">(5) Ranking of Auto Auction Sites by Number of Consigned Vehicles (Calendar Year)
</t>
    <phoneticPr fontId="29"/>
  </si>
  <si>
    <t>* The above ranking includes only on-site auction and is based on the data provided by USEDCAR Co., Ltd.</t>
  </si>
  <si>
    <t>2.USSデータ</t>
    <phoneticPr fontId="29"/>
  </si>
  <si>
    <t>1. 業界データ</t>
    <rPh sb="3" eb="5">
      <t>ギョウカイ</t>
    </rPh>
    <phoneticPr fontId="29"/>
  </si>
  <si>
    <t>1. Industry Data</t>
    <phoneticPr fontId="29"/>
  </si>
  <si>
    <t xml:space="preserve">(1) USS会場別オートオークション実績（年度） </t>
    <phoneticPr fontId="29"/>
  </si>
  <si>
    <t>2. USS Data</t>
    <phoneticPr fontId="29"/>
  </si>
  <si>
    <t xml:space="preserve">(1) Auto Auction Results at USS Auction Sites (Fiscal Year)
</t>
    <phoneticPr fontId="29"/>
  </si>
  <si>
    <t>(2) USSオートオークション月次推移（年度）</t>
    <phoneticPr fontId="29"/>
  </si>
  <si>
    <t xml:space="preserve">(2) Monthly USS Auto Auction Results (Fiscal Year)
</t>
    <phoneticPr fontId="29"/>
  </si>
  <si>
    <t>Ⅲ</t>
  </si>
  <si>
    <t>Ⅲ</t>
    <phoneticPr fontId="29"/>
  </si>
  <si>
    <t>決算データ等</t>
    <rPh sb="0" eb="2">
      <t>ケッサン</t>
    </rPh>
    <rPh sb="5" eb="6">
      <t>トウ</t>
    </rPh>
    <phoneticPr fontId="29"/>
  </si>
  <si>
    <t>1. セグメント</t>
  </si>
  <si>
    <t>1. セグメント</t>
    <phoneticPr fontId="29"/>
  </si>
  <si>
    <t>(1) 事業の種類別セグメントの状況</t>
    <phoneticPr fontId="29"/>
  </si>
  <si>
    <t>Financial Data</t>
  </si>
  <si>
    <t>Financial Data</t>
    <phoneticPr fontId="29"/>
  </si>
  <si>
    <t>1. Segment Information</t>
  </si>
  <si>
    <t>1. Segment Information</t>
    <phoneticPr fontId="29"/>
  </si>
  <si>
    <t>(1) Segment Information by Business Category</t>
    <phoneticPr fontId="29"/>
  </si>
  <si>
    <t>(3) オートオークション － 売上内訳推移</t>
    <phoneticPr fontId="29"/>
  </si>
  <si>
    <t>※売上内訳は、連結数値を使用しております。</t>
  </si>
  <si>
    <t xml:space="preserve">(3) Auto Auction Business - Sales Composition
</t>
    <phoneticPr fontId="29"/>
  </si>
  <si>
    <t>* Net Sales figures are after eliminations for consolidation.</t>
  </si>
  <si>
    <t>(4) オートオークション － 低額車推移（JBA除く）</t>
    <phoneticPr fontId="29"/>
  </si>
  <si>
    <t>※低額車の定義を見直したことにともない、2019.3期以前の低額車取扱台数は遡及して修正表示しております。</t>
  </si>
  <si>
    <t xml:space="preserve">(4) Auto Auction Business - Lower-priced vehicles Auction (excl. JBA)
</t>
    <phoneticPr fontId="29"/>
  </si>
  <si>
    <t>(5) オートオークション － 会員数および外部落札情報（JBA除く）</t>
    <phoneticPr fontId="29"/>
  </si>
  <si>
    <t xml:space="preserve">(5) Auto Auction Business - Members and Successful Off-site Bids (excl. JBA)
</t>
    <phoneticPr fontId="29"/>
  </si>
  <si>
    <t>2. 連結</t>
    <rPh sb="3" eb="5">
      <t>レンケツ</t>
    </rPh>
    <phoneticPr fontId="29"/>
  </si>
  <si>
    <t>(1) 連結損益計算書</t>
    <rPh sb="4" eb="11">
      <t>レンケツソンエキケイサンショ</t>
    </rPh>
    <phoneticPr fontId="29"/>
  </si>
  <si>
    <t>※2015.3期までの少数株主利益は、非支配株主に帰属する当期純利益として表示しております。</t>
  </si>
  <si>
    <t>※2015.3期までの当期純利益は、親会社株主に帰属する当期純利益として表示しております。</t>
  </si>
  <si>
    <t xml:space="preserve">(1) Consolidated Statements of Income
</t>
    <phoneticPr fontId="29"/>
  </si>
  <si>
    <t xml:space="preserve">2. Consolidated Basis
</t>
    <phoneticPr fontId="29"/>
  </si>
  <si>
    <t>* Net Income for the period up to the fiscal year ended March 2015 is presented as Profit Attributable to Owners of Parent.</t>
  </si>
  <si>
    <t>(2) 連結貸借対照表</t>
    <phoneticPr fontId="29"/>
  </si>
  <si>
    <t>※「『税効果会計に係る会計基準』の一部改正」（企業会計基準第28号 平成30年2月16日）等を2019.3期から適用しており、2018.3期の資産、負債は遡及して修正表示しております。</t>
  </si>
  <si>
    <t xml:space="preserve">(2) Consolidated Balance Sheet
</t>
    <phoneticPr fontId="29"/>
  </si>
  <si>
    <t xml:space="preserve">* Partial Amendments to Accounting Standard for Tax Effect Accounting, etc. (ASBJ Statement No. 28, February 16, 2018) are applied from the fiscal year ended March 2019. </t>
    <phoneticPr fontId="29"/>
  </si>
  <si>
    <t xml:space="preserve">   The values of assets and liabilities for the fiscal year ended March 2018 are retroactively adjusted.</t>
    <phoneticPr fontId="29"/>
  </si>
  <si>
    <t>※(株)ユーストカーのデータを基に、現車オークション会場のみを対象としております。</t>
    <rPh sb="15" eb="16">
      <t>モト</t>
    </rPh>
    <rPh sb="18" eb="19">
      <t>ウツツ</t>
    </rPh>
    <rPh sb="19" eb="20">
      <t>グルマ</t>
    </rPh>
    <rPh sb="26" eb="28">
      <t>カイジョウ</t>
    </rPh>
    <rPh sb="31" eb="33">
      <t>タイショウ</t>
    </rPh>
    <phoneticPr fontId="29"/>
  </si>
  <si>
    <t>※低額車の定義を見直したことにともない、2019.3期以前の1台当たり手数料 低額車除く（JBA除く）は、遡及して修正表示しております。</t>
    <rPh sb="1" eb="3">
      <t>テイガク</t>
    </rPh>
    <rPh sb="3" eb="4">
      <t>シャ</t>
    </rPh>
    <rPh sb="5" eb="7">
      <t>テイギ</t>
    </rPh>
    <rPh sb="8" eb="10">
      <t>ミナオ</t>
    </rPh>
    <rPh sb="26" eb="27">
      <t>キ</t>
    </rPh>
    <rPh sb="27" eb="29">
      <t>イゼン</t>
    </rPh>
    <rPh sb="31" eb="32">
      <t>ダイ</t>
    </rPh>
    <rPh sb="32" eb="33">
      <t>ア</t>
    </rPh>
    <rPh sb="35" eb="38">
      <t>テスウリョウ</t>
    </rPh>
    <rPh sb="39" eb="41">
      <t>テイガク</t>
    </rPh>
    <rPh sb="41" eb="42">
      <t>シャ</t>
    </rPh>
    <rPh sb="42" eb="43">
      <t>ノゾ</t>
    </rPh>
    <rPh sb="48" eb="49">
      <t>ノゾ</t>
    </rPh>
    <rPh sb="53" eb="55">
      <t>ソキュウ</t>
    </rPh>
    <rPh sb="57" eb="59">
      <t>シュウセイ</t>
    </rPh>
    <rPh sb="59" eb="61">
      <t>ヒョウジ</t>
    </rPh>
    <phoneticPr fontId="17"/>
  </si>
  <si>
    <t>※2017年10月よりJAA、HAA神戸の実績を含めております。　</t>
    <rPh sb="5" eb="6">
      <t>ネン</t>
    </rPh>
    <rPh sb="8" eb="9">
      <t>ガツ</t>
    </rPh>
    <rPh sb="18" eb="20">
      <t>コウベ</t>
    </rPh>
    <rPh sb="21" eb="23">
      <t>ジッセキ</t>
    </rPh>
    <rPh sb="24" eb="25">
      <t>フク</t>
    </rPh>
    <phoneticPr fontId="17"/>
  </si>
  <si>
    <r>
      <rPr>
        <sz val="10"/>
        <rFont val="ＭＳ Ｐゴシック"/>
        <family val="3"/>
        <charset val="128"/>
      </rPr>
      <t>Ⅲ</t>
    </r>
    <phoneticPr fontId="29"/>
  </si>
  <si>
    <t>Ⅰ</t>
    <phoneticPr fontId="29"/>
  </si>
  <si>
    <r>
      <rPr>
        <sz val="10"/>
        <rFont val="ＭＳ Ｐゴシック"/>
        <family val="3"/>
        <charset val="128"/>
      </rPr>
      <t>Ⅱ</t>
    </r>
    <phoneticPr fontId="29"/>
  </si>
  <si>
    <t>（出所：(一社)日本自動車販売協会連合会、(一社)日本自動車工業会、(一社)全国軽自動車協会連合会、(独)統計センター）</t>
    <phoneticPr fontId="17"/>
  </si>
  <si>
    <t xml:space="preserve"> (Sources: Japan Automobile Dealers Association, Japan Automobile Manufacturers Association, Japan Light Motor Vehicle and Motorcycle Association, The National Statistics Center)</t>
    <phoneticPr fontId="29"/>
  </si>
  <si>
    <t>■2023.3　注記退避</t>
    <rPh sb="8" eb="10">
      <t>チュウキ</t>
    </rPh>
    <rPh sb="10" eb="12">
      <t>タイヒ</t>
    </rPh>
    <phoneticPr fontId="29"/>
  </si>
  <si>
    <t>■2023.3　注記退避</t>
    <rPh sb="8" eb="12">
      <t>チュウキタイヒ</t>
    </rPh>
    <phoneticPr fontId="17"/>
  </si>
  <si>
    <t>■2023.3　注記退避</t>
    <rPh sb="8" eb="10">
      <t>チュウキ</t>
    </rPh>
    <rPh sb="10" eb="12">
      <t>タイヒ</t>
    </rPh>
    <phoneticPr fontId="17"/>
  </si>
  <si>
    <r>
      <t xml:space="preserve"> </t>
    </r>
    <r>
      <rPr>
        <sz val="9"/>
        <rFont val="メイリオ"/>
        <family val="3"/>
        <charset val="128"/>
      </rPr>
      <t xml:space="preserve">出品台数
</t>
    </r>
    <r>
      <rPr>
        <sz val="9"/>
        <rFont val="Arial"/>
        <family val="2"/>
      </rPr>
      <t xml:space="preserve"> No. of Consigned
 Motorcycles</t>
    </r>
    <rPh sb="1" eb="3">
      <t>シュッピン</t>
    </rPh>
    <rPh sb="3" eb="5">
      <t>ダイスウ</t>
    </rPh>
    <phoneticPr fontId="17"/>
  </si>
  <si>
    <r>
      <t xml:space="preserve"> </t>
    </r>
    <r>
      <rPr>
        <sz val="9"/>
        <rFont val="メイリオ"/>
        <family val="3"/>
        <charset val="128"/>
      </rPr>
      <t xml:space="preserve">成約台数
</t>
    </r>
    <r>
      <rPr>
        <sz val="9"/>
        <rFont val="Arial"/>
        <family val="2"/>
      </rPr>
      <t xml:space="preserve"> No. of Contracted
 Motorcycles</t>
    </r>
    <rPh sb="1" eb="3">
      <t>セイヤク</t>
    </rPh>
    <rPh sb="3" eb="5">
      <t>ダイスウ</t>
    </rPh>
    <phoneticPr fontId="17"/>
  </si>
  <si>
    <r>
      <rPr>
        <sz val="8"/>
        <rFont val="メイリオ"/>
        <family val="3"/>
        <charset val="128"/>
      </rPr>
      <t>（単位：台、％</t>
    </r>
    <r>
      <rPr>
        <sz val="8"/>
        <rFont val="Arial"/>
        <family val="2"/>
      </rPr>
      <t xml:space="preserve"> </t>
    </r>
    <r>
      <rPr>
        <sz val="8"/>
        <rFont val="メイリオ"/>
        <family val="3"/>
        <charset val="128"/>
      </rPr>
      <t>　</t>
    </r>
    <r>
      <rPr>
        <sz val="8"/>
        <rFont val="Arial"/>
        <family val="2"/>
      </rPr>
      <t xml:space="preserve"> Unit</t>
    </r>
    <r>
      <rPr>
        <sz val="8"/>
        <rFont val="メイリオ"/>
        <family val="3"/>
        <charset val="128"/>
      </rPr>
      <t>：</t>
    </r>
    <r>
      <rPr>
        <sz val="8"/>
        <rFont val="Arial"/>
        <family val="2"/>
      </rPr>
      <t>No. of Motorcycles, %</t>
    </r>
    <r>
      <rPr>
        <sz val="8"/>
        <rFont val="メイリオ"/>
        <family val="3"/>
        <charset val="128"/>
      </rPr>
      <t>）</t>
    </r>
    <phoneticPr fontId="17"/>
  </si>
  <si>
    <r>
      <t>(</t>
    </r>
    <r>
      <rPr>
        <b/>
        <sz val="8"/>
        <rFont val="メイリオ"/>
        <family val="3"/>
        <charset val="128"/>
      </rPr>
      <t>中古自動車等買取販売　</t>
    </r>
    <r>
      <rPr>
        <b/>
        <sz val="8"/>
        <rFont val="Arial"/>
        <family val="2"/>
      </rPr>
      <t>Used Vehicle Sales/Purchases Business)</t>
    </r>
    <rPh sb="1" eb="3">
      <t>チュウコ</t>
    </rPh>
    <rPh sb="3" eb="6">
      <t>ジドウシャ</t>
    </rPh>
    <rPh sb="6" eb="7">
      <t>ナド</t>
    </rPh>
    <rPh sb="7" eb="9">
      <t>カイトリ</t>
    </rPh>
    <rPh sb="9" eb="11">
      <t>ハンバイ</t>
    </rPh>
    <phoneticPr fontId="14"/>
  </si>
  <si>
    <r>
      <rPr>
        <sz val="8"/>
        <rFont val="メイリオ"/>
        <family val="3"/>
        <charset val="128"/>
      </rPr>
      <t>中古自動車買取販売　</t>
    </r>
    <r>
      <rPr>
        <sz val="8"/>
        <rFont val="Arial"/>
        <family val="2"/>
      </rPr>
      <t>Used Vehicle Sales/Purchases</t>
    </r>
    <phoneticPr fontId="29"/>
  </si>
  <si>
    <r>
      <rPr>
        <sz val="8"/>
        <rFont val="メイリオ"/>
        <family val="3"/>
        <charset val="128"/>
      </rPr>
      <t>事故現状車買取販売　</t>
    </r>
    <r>
      <rPr>
        <sz val="8"/>
        <rFont val="Arial"/>
        <family val="2"/>
      </rPr>
      <t>Accident-damaged Vehicle Sales/Purchases</t>
    </r>
    <phoneticPr fontId="29"/>
  </si>
  <si>
    <r>
      <rPr>
        <sz val="8"/>
        <rFont val="メイリオ"/>
        <family val="3"/>
        <charset val="128"/>
      </rPr>
      <t>中古自動車等買取販売計　</t>
    </r>
    <r>
      <rPr>
        <sz val="8"/>
        <rFont val="Arial"/>
        <family val="2"/>
      </rPr>
      <t>Used Vehicle Sales/Purchases Business Total</t>
    </r>
    <rPh sb="0" eb="2">
      <t>チュウコ</t>
    </rPh>
    <rPh sb="2" eb="5">
      <t>ジドウシャ</t>
    </rPh>
    <rPh sb="5" eb="6">
      <t>トウ</t>
    </rPh>
    <rPh sb="6" eb="8">
      <t>カイトリ</t>
    </rPh>
    <rPh sb="8" eb="10">
      <t>ハンバイ</t>
    </rPh>
    <rPh sb="10" eb="11">
      <t>ケイ</t>
    </rPh>
    <phoneticPr fontId="29"/>
  </si>
  <si>
    <r>
      <t>プラントリサイクル　</t>
    </r>
    <r>
      <rPr>
        <sz val="8"/>
        <rFont val="Arial"/>
        <family val="2"/>
      </rPr>
      <t>Industrial Plant Recycling</t>
    </r>
    <phoneticPr fontId="29"/>
  </si>
  <si>
    <r>
      <t>These materials include forward-looking statements concerning future operating results.  Those statements are based on the</t>
    </r>
    <r>
      <rPr>
        <sz val="8"/>
        <rFont val="メイリオ"/>
        <family val="3"/>
        <charset val="128"/>
      </rPr>
      <t>　</t>
    </r>
    <r>
      <rPr>
        <sz val="8"/>
        <rFont val="Arial"/>
        <family val="2"/>
      </rPr>
      <t>judgment of the Company’s management using information available at the time that the projections of future operating</t>
    </r>
    <r>
      <rPr>
        <sz val="8"/>
        <rFont val="メイリオ"/>
        <family val="3"/>
        <charset val="128"/>
      </rPr>
      <t>　</t>
    </r>
    <r>
      <rPr>
        <sz val="8"/>
        <rFont val="Arial"/>
        <family val="2"/>
      </rPr>
      <t xml:space="preserve">results were made.  Therefore, those statements include assumptions.  Actual results may differ significantly from projected results due to a number of factors, including changes in the Company's business environment.  While the Company and its management have expressed expectations concerning future operating results herein, the Company and its management do not guarantee that those expectations or operating results will in face be achieved, wholly or partially.  Except where stipulated by law or separately provided for, the Company shall be under no obligation to update its future expectations. </t>
    </r>
    <phoneticPr fontId="29"/>
  </si>
  <si>
    <r>
      <t>Ⅰ営業活動によるキャッシュ・フロー　</t>
    </r>
    <r>
      <rPr>
        <sz val="9"/>
        <rFont val="Arial"/>
        <family val="2"/>
      </rPr>
      <t>Cash Flows from Operating Activities</t>
    </r>
    <phoneticPr fontId="14"/>
  </si>
  <si>
    <r>
      <t>税金等調整前当期純利益　</t>
    </r>
    <r>
      <rPr>
        <sz val="8"/>
        <rFont val="Arial"/>
        <family val="2"/>
      </rPr>
      <t>Profit Before Income Taxes</t>
    </r>
    <rPh sb="6" eb="8">
      <t>トウキ</t>
    </rPh>
    <phoneticPr fontId="14"/>
  </si>
  <si>
    <r>
      <t>減価償却費及びその他の償却費　</t>
    </r>
    <r>
      <rPr>
        <sz val="8"/>
        <rFont val="Arial"/>
        <family val="2"/>
      </rPr>
      <t>Depreciation and Amortization</t>
    </r>
    <rPh sb="0" eb="4">
      <t>ゲンカショウキャク</t>
    </rPh>
    <rPh sb="4" eb="5">
      <t>ヒ</t>
    </rPh>
    <rPh sb="5" eb="6">
      <t>オヨ</t>
    </rPh>
    <rPh sb="9" eb="10">
      <t>タ</t>
    </rPh>
    <rPh sb="11" eb="14">
      <t>ショウキャクヒ</t>
    </rPh>
    <phoneticPr fontId="17"/>
  </si>
  <si>
    <r>
      <t>減損損失　</t>
    </r>
    <r>
      <rPr>
        <sz val="8"/>
        <rFont val="Arial"/>
        <family val="2"/>
      </rPr>
      <t>Impairment Losses</t>
    </r>
    <rPh sb="0" eb="2">
      <t>ゲンソン</t>
    </rPh>
    <rPh sb="2" eb="4">
      <t>ソンシツ</t>
    </rPh>
    <phoneticPr fontId="14"/>
  </si>
  <si>
    <r>
      <t>のれん償却額　</t>
    </r>
    <r>
      <rPr>
        <sz val="8"/>
        <rFont val="Arial"/>
        <family val="2"/>
      </rPr>
      <t>Amortization of Goodwill</t>
    </r>
    <rPh sb="3" eb="6">
      <t>ショウキャクガク</t>
    </rPh>
    <phoneticPr fontId="17"/>
  </si>
  <si>
    <r>
      <t>受取利息及び受取配当金　</t>
    </r>
    <r>
      <rPr>
        <sz val="8"/>
        <rFont val="Arial"/>
        <family val="2"/>
      </rPr>
      <t>Interest and Dividend Income</t>
    </r>
    <rPh sb="0" eb="4">
      <t>ウケトリリソク</t>
    </rPh>
    <rPh sb="4" eb="5">
      <t>オヨ</t>
    </rPh>
    <rPh sb="6" eb="11">
      <t>ウケトリハイトウキン</t>
    </rPh>
    <phoneticPr fontId="17"/>
  </si>
  <si>
    <r>
      <t>支払利息　</t>
    </r>
    <r>
      <rPr>
        <sz val="8"/>
        <rFont val="Arial"/>
        <family val="2"/>
      </rPr>
      <t>Interest Expenses</t>
    </r>
    <rPh sb="0" eb="4">
      <t>シハライリソク</t>
    </rPh>
    <phoneticPr fontId="17"/>
  </si>
  <si>
    <r>
      <t>オークション勘定の増減額　</t>
    </r>
    <r>
      <rPr>
        <sz val="8"/>
        <rFont val="Arial"/>
        <family val="2"/>
      </rPr>
      <t>Net Change in Due from/to Member Dealers at Auction</t>
    </r>
    <rPh sb="6" eb="8">
      <t>カンジョウ</t>
    </rPh>
    <rPh sb="9" eb="11">
      <t>ゾウゲン</t>
    </rPh>
    <rPh sb="11" eb="12">
      <t>ゾウカガク</t>
    </rPh>
    <phoneticPr fontId="17"/>
  </si>
  <si>
    <r>
      <t>売上債権の増減額　</t>
    </r>
    <r>
      <rPr>
        <sz val="8"/>
        <rFont val="Arial"/>
        <family val="2"/>
      </rPr>
      <t>Decrease (Increase) in Trade Receivables</t>
    </r>
    <rPh sb="0" eb="2">
      <t>ウリアゲ</t>
    </rPh>
    <rPh sb="2" eb="4">
      <t>サイケン</t>
    </rPh>
    <rPh sb="5" eb="7">
      <t>ゾウゲン</t>
    </rPh>
    <rPh sb="7" eb="8">
      <t>ガク</t>
    </rPh>
    <phoneticPr fontId="17"/>
  </si>
  <si>
    <r>
      <t>その他　</t>
    </r>
    <r>
      <rPr>
        <sz val="8"/>
        <rFont val="Arial"/>
        <family val="2"/>
      </rPr>
      <t>Other,net</t>
    </r>
    <rPh sb="2" eb="3">
      <t>タ</t>
    </rPh>
    <phoneticPr fontId="14"/>
  </si>
  <si>
    <r>
      <t>小計　</t>
    </r>
    <r>
      <rPr>
        <sz val="8"/>
        <rFont val="Arial"/>
        <family val="2"/>
      </rPr>
      <t>Subtotal</t>
    </r>
    <rPh sb="0" eb="2">
      <t>ショウケイ</t>
    </rPh>
    <phoneticPr fontId="17"/>
  </si>
  <si>
    <r>
      <t>利息及び配当金の受取額　</t>
    </r>
    <r>
      <rPr>
        <sz val="8"/>
        <rFont val="Arial"/>
        <family val="2"/>
      </rPr>
      <t>Interest and Dividends Received</t>
    </r>
    <rPh sb="0" eb="2">
      <t>リソク</t>
    </rPh>
    <rPh sb="2" eb="3">
      <t>オヨ</t>
    </rPh>
    <rPh sb="4" eb="7">
      <t>ハイトウキン</t>
    </rPh>
    <rPh sb="8" eb="10">
      <t>ウケトリ</t>
    </rPh>
    <rPh sb="10" eb="11">
      <t>ガク</t>
    </rPh>
    <phoneticPr fontId="14"/>
  </si>
  <si>
    <r>
      <t>利息の支払額　</t>
    </r>
    <r>
      <rPr>
        <sz val="8"/>
        <rFont val="Arial"/>
        <family val="2"/>
      </rPr>
      <t>Interest Paid</t>
    </r>
    <rPh sb="0" eb="2">
      <t>リソク</t>
    </rPh>
    <rPh sb="3" eb="5">
      <t>シハライ</t>
    </rPh>
    <rPh sb="5" eb="6">
      <t>ガク</t>
    </rPh>
    <phoneticPr fontId="14"/>
  </si>
  <si>
    <r>
      <t>法人税等の支払額　</t>
    </r>
    <r>
      <rPr>
        <sz val="8"/>
        <rFont val="Arial"/>
        <family val="2"/>
      </rPr>
      <t>Income Taxes Paid</t>
    </r>
    <rPh sb="0" eb="3">
      <t>ホウジンゼイ</t>
    </rPh>
    <rPh sb="3" eb="4">
      <t>トウ</t>
    </rPh>
    <rPh sb="5" eb="7">
      <t>シハライ</t>
    </rPh>
    <rPh sb="7" eb="8">
      <t>ガク</t>
    </rPh>
    <phoneticPr fontId="14"/>
  </si>
  <si>
    <r>
      <t>営業活動によるキャッシュ・フロー　</t>
    </r>
    <r>
      <rPr>
        <sz val="8"/>
        <rFont val="Arial"/>
        <family val="2"/>
      </rPr>
      <t>Net Cash provided by (used in) Operating Activities</t>
    </r>
    <rPh sb="0" eb="2">
      <t>エイギョウ</t>
    </rPh>
    <rPh sb="2" eb="4">
      <t>カツドウ</t>
    </rPh>
    <phoneticPr fontId="17"/>
  </si>
  <si>
    <r>
      <t>Ⅱ投資活動によるキャッシュ・フロー　</t>
    </r>
    <r>
      <rPr>
        <sz val="9"/>
        <rFont val="Arial"/>
        <family val="2"/>
      </rPr>
      <t>Cash Flows from Investing Activities</t>
    </r>
    <phoneticPr fontId="14"/>
  </si>
  <si>
    <r>
      <t>有形固定資産の取得による支出　</t>
    </r>
    <r>
      <rPr>
        <sz val="8"/>
        <rFont val="Arial"/>
        <family val="2"/>
      </rPr>
      <t xml:space="preserve">Purchase of Property, Plant and Equipment </t>
    </r>
    <rPh sb="0" eb="6">
      <t>ユウケイコテイシサン</t>
    </rPh>
    <rPh sb="7" eb="9">
      <t>シュトク</t>
    </rPh>
    <rPh sb="12" eb="14">
      <t>シシュツ</t>
    </rPh>
    <phoneticPr fontId="17"/>
  </si>
  <si>
    <r>
      <t>有形固定資産の売却による収入　</t>
    </r>
    <r>
      <rPr>
        <sz val="8"/>
        <rFont val="Arial"/>
        <family val="2"/>
      </rPr>
      <t>Proceeds from Sale of Property, Plant and Equipment</t>
    </r>
    <rPh sb="0" eb="6">
      <t>ユウケイコテイシサン</t>
    </rPh>
    <rPh sb="7" eb="9">
      <t>バイキャク</t>
    </rPh>
    <rPh sb="12" eb="14">
      <t>シュウニュウ</t>
    </rPh>
    <phoneticPr fontId="17"/>
  </si>
  <si>
    <r>
      <t>その他　</t>
    </r>
    <r>
      <rPr>
        <sz val="8"/>
        <rFont val="Arial"/>
        <family val="2"/>
      </rPr>
      <t>Other,net</t>
    </r>
    <rPh sb="0" eb="3">
      <t>ソノタ</t>
    </rPh>
    <phoneticPr fontId="17"/>
  </si>
  <si>
    <r>
      <t>投資活動によるキャッシュ・フロー　</t>
    </r>
    <r>
      <rPr>
        <sz val="8"/>
        <rFont val="Arial"/>
        <family val="2"/>
      </rPr>
      <t>Net Cash provided by (used in) Investing Activities</t>
    </r>
    <rPh sb="0" eb="4">
      <t>トウシカツドウ</t>
    </rPh>
    <phoneticPr fontId="17"/>
  </si>
  <si>
    <r>
      <t>Ⅲ財務活動によるキャッシュ・フロー　</t>
    </r>
    <r>
      <rPr>
        <sz val="9"/>
        <rFont val="Arial"/>
        <family val="2"/>
      </rPr>
      <t>Cash Flows from Financing Activities</t>
    </r>
    <phoneticPr fontId="14"/>
  </si>
  <si>
    <r>
      <t>自己株式の取得による支出　</t>
    </r>
    <r>
      <rPr>
        <sz val="8"/>
        <rFont val="Arial"/>
        <family val="2"/>
      </rPr>
      <t>Purchase of Treasury Shares</t>
    </r>
    <rPh sb="0" eb="4">
      <t>ジコカブシキ</t>
    </rPh>
    <rPh sb="5" eb="7">
      <t>シュトク</t>
    </rPh>
    <rPh sb="10" eb="12">
      <t>シシュツ</t>
    </rPh>
    <phoneticPr fontId="17"/>
  </si>
  <si>
    <r>
      <t>配当金の支払額　</t>
    </r>
    <r>
      <rPr>
        <sz val="8"/>
        <rFont val="Arial"/>
        <family val="2"/>
      </rPr>
      <t>Dividends Paid</t>
    </r>
    <rPh sb="0" eb="3">
      <t>ハイトウキン</t>
    </rPh>
    <rPh sb="4" eb="6">
      <t>シハライ</t>
    </rPh>
    <rPh sb="6" eb="7">
      <t>ガク</t>
    </rPh>
    <phoneticPr fontId="14"/>
  </si>
  <si>
    <r>
      <t>財務活動によるキャッシュ・フロー　</t>
    </r>
    <r>
      <rPr>
        <sz val="8"/>
        <rFont val="Arial"/>
        <family val="2"/>
      </rPr>
      <t>Net Cash provided by (used in) Financing Activities</t>
    </r>
    <rPh sb="0" eb="2">
      <t>ザイム</t>
    </rPh>
    <rPh sb="2" eb="4">
      <t>カツドウ</t>
    </rPh>
    <phoneticPr fontId="17"/>
  </si>
  <si>
    <r>
      <t>Ⅳ現金及び現金同等物の増減額　</t>
    </r>
    <r>
      <rPr>
        <sz val="9"/>
        <rFont val="Arial"/>
        <family val="2"/>
      </rPr>
      <t>Net Increase (Decrease) in Cash and Cash Equivalents</t>
    </r>
    <rPh sb="3" eb="4">
      <t>オヨ</t>
    </rPh>
    <phoneticPr fontId="17"/>
  </si>
  <si>
    <r>
      <t>Ⅴ現金及び現金同等物の期首残高　</t>
    </r>
    <r>
      <rPr>
        <sz val="9"/>
        <rFont val="Arial"/>
        <family val="2"/>
      </rPr>
      <t>Cash and Cash Equivalents at Beginning of Period</t>
    </r>
    <rPh sb="3" eb="4">
      <t>オヨ</t>
    </rPh>
    <phoneticPr fontId="17"/>
  </si>
  <si>
    <r>
      <t>Ⅵ現金及び現金同等物の期末残高　</t>
    </r>
    <r>
      <rPr>
        <sz val="9"/>
        <rFont val="Arial"/>
        <family val="2"/>
      </rPr>
      <t>Cash and Cash Equivalents at End of Period</t>
    </r>
    <rPh sb="3" eb="4">
      <t>オヨ</t>
    </rPh>
    <phoneticPr fontId="17"/>
  </si>
  <si>
    <t>※メーカー・ディーラー系とは自動車メーカーおよびその関連会社またはメーカー系ディーラーにより運営される会場をいいます。</t>
    <rPh sb="11" eb="12">
      <t>ケイ</t>
    </rPh>
    <rPh sb="14" eb="16">
      <t>ジドウ</t>
    </rPh>
    <rPh sb="16" eb="17">
      <t>シャ</t>
    </rPh>
    <rPh sb="26" eb="28">
      <t>カンレン</t>
    </rPh>
    <rPh sb="28" eb="30">
      <t>ガイシャ</t>
    </rPh>
    <rPh sb="37" eb="38">
      <t>ケイ</t>
    </rPh>
    <rPh sb="46" eb="48">
      <t>ウンエイ</t>
    </rPh>
    <rPh sb="51" eb="53">
      <t>カイジョウ</t>
    </rPh>
    <phoneticPr fontId="17"/>
  </si>
  <si>
    <t>※オークションシステムの変更にともない、HAA神戸は2018年8月より、JAAは2019年1月より外部落札台数の集計に含めております。</t>
    <rPh sb="49" eb="55">
      <t>ガイブラクサツダイスウ</t>
    </rPh>
    <phoneticPr fontId="29"/>
  </si>
  <si>
    <r>
      <t>EPS</t>
    </r>
    <r>
      <rPr>
        <sz val="10"/>
        <rFont val="メイリオ"/>
        <family val="3"/>
        <charset val="128"/>
      </rPr>
      <t>　＝　</t>
    </r>
    <r>
      <rPr>
        <sz val="10"/>
        <rFont val="Arial"/>
        <family val="2"/>
      </rPr>
      <t>Profit Attributable to Owners of Parent / Average number of shares outstanding during the period</t>
    </r>
    <phoneticPr fontId="29"/>
  </si>
  <si>
    <t>* Lower-priced vehicles is old and/or high mileage vehicles.</t>
    <phoneticPr fontId="29"/>
  </si>
  <si>
    <t>5</t>
    <phoneticPr fontId="29"/>
  </si>
  <si>
    <r>
      <t>USS</t>
    </r>
    <r>
      <rPr>
        <b/>
        <sz val="8"/>
        <rFont val="メイリオ"/>
        <family val="3"/>
        <charset val="128"/>
      </rPr>
      <t>九州　</t>
    </r>
    <r>
      <rPr>
        <b/>
        <sz val="8"/>
        <rFont val="Arial"/>
        <family val="2"/>
      </rPr>
      <t>USS Kyusyu</t>
    </r>
    <rPh sb="3" eb="5">
      <t>キュウシュウ</t>
    </rPh>
    <phoneticPr fontId="29"/>
  </si>
  <si>
    <r>
      <rPr>
        <sz val="8"/>
        <rFont val="Arial"/>
        <family val="2"/>
      </rPr>
      <t>CAA</t>
    </r>
    <r>
      <rPr>
        <sz val="8"/>
        <rFont val="メイリオ"/>
        <family val="3"/>
        <charset val="128"/>
      </rPr>
      <t>中部　</t>
    </r>
    <r>
      <rPr>
        <sz val="8"/>
        <rFont val="Arial"/>
        <family val="2"/>
      </rPr>
      <t>CAA Chubu</t>
    </r>
    <phoneticPr fontId="29"/>
  </si>
  <si>
    <r>
      <t>アライバントラ　</t>
    </r>
    <r>
      <rPr>
        <sz val="8"/>
        <rFont val="Arial"/>
        <family val="2"/>
      </rPr>
      <t>Arai Vans &amp; Trucks</t>
    </r>
    <phoneticPr fontId="29"/>
  </si>
  <si>
    <r>
      <t>JU</t>
    </r>
    <r>
      <rPr>
        <sz val="8"/>
        <rFont val="メイリオ"/>
        <family val="3"/>
        <charset val="128"/>
      </rPr>
      <t>札幌　</t>
    </r>
    <r>
      <rPr>
        <sz val="8"/>
        <rFont val="Arial"/>
        <family val="2"/>
      </rPr>
      <t>JU Sapporo</t>
    </r>
    <rPh sb="2" eb="4">
      <t>サッポロ</t>
    </rPh>
    <phoneticPr fontId="29"/>
  </si>
  <si>
    <r>
      <t>TAA</t>
    </r>
    <r>
      <rPr>
        <sz val="8"/>
        <rFont val="メイリオ"/>
        <family val="3"/>
        <charset val="128"/>
      </rPr>
      <t>近畿　TAA</t>
    </r>
    <r>
      <rPr>
        <sz val="8"/>
        <rFont val="Arial"/>
        <family val="2"/>
      </rPr>
      <t xml:space="preserve"> Kinki</t>
    </r>
    <rPh sb="3" eb="5">
      <t>キンキ</t>
    </rPh>
    <phoneticPr fontId="29"/>
  </si>
  <si>
    <r>
      <t>TAA</t>
    </r>
    <r>
      <rPr>
        <sz val="8"/>
        <rFont val="メイリオ"/>
        <family val="3"/>
        <charset val="128"/>
      </rPr>
      <t>北海道　</t>
    </r>
    <r>
      <rPr>
        <sz val="8"/>
        <rFont val="Arial"/>
        <family val="2"/>
      </rPr>
      <t>TAA Hokkaido</t>
    </r>
    <rPh sb="3" eb="6">
      <t>ホッカイドウ</t>
    </rPh>
    <phoneticPr fontId="29"/>
  </si>
  <si>
    <t>確認印</t>
    <rPh sb="0" eb="2">
      <t>カクニン</t>
    </rPh>
    <rPh sb="2" eb="3">
      <t>イン</t>
    </rPh>
    <phoneticPr fontId="239"/>
  </si>
  <si>
    <t>承認印</t>
    <rPh sb="0" eb="3">
      <t>ショウニンイン</t>
    </rPh>
    <phoneticPr fontId="239"/>
  </si>
  <si>
    <t>担当印</t>
    <rPh sb="0" eb="2">
      <t>タントウ</t>
    </rPh>
    <rPh sb="2" eb="3">
      <t>イン</t>
    </rPh>
    <phoneticPr fontId="239"/>
  </si>
  <si>
    <t>※参照資料：</t>
  </si>
  <si>
    <r>
      <t>F4300US_</t>
    </r>
    <r>
      <rPr>
        <sz val="10"/>
        <rFont val="ＭＳ Ｐゴシック"/>
        <family val="3"/>
        <charset val="128"/>
      </rPr>
      <t>●●</t>
    </r>
    <r>
      <rPr>
        <sz val="10"/>
        <rFont val="Arial"/>
        <family val="2"/>
      </rPr>
      <t>12</t>
    </r>
    <r>
      <rPr>
        <sz val="10"/>
        <rFont val="ＭＳ Ｐゴシック"/>
        <family val="3"/>
        <charset val="128"/>
      </rPr>
      <t>ﾕｰｽﾄｶｰ暦年実績</t>
    </r>
    <r>
      <rPr>
        <sz val="10"/>
        <rFont val="Arial"/>
        <family val="2"/>
      </rPr>
      <t>.xls</t>
    </r>
  </si>
  <si>
    <t>2023.3</t>
  </si>
  <si>
    <r>
      <t>\\10.51.3.13\</t>
    </r>
    <r>
      <rPr>
        <u/>
        <sz val="10"/>
        <color indexed="12"/>
        <rFont val="ＭＳ Ｐゴシック"/>
        <family val="3"/>
        <charset val="128"/>
      </rPr>
      <t>財務部</t>
    </r>
    <r>
      <rPr>
        <u/>
        <sz val="10"/>
        <color indexed="12"/>
        <rFont val="Arial"/>
        <family val="2"/>
      </rPr>
      <t>\10_</t>
    </r>
    <r>
      <rPr>
        <u/>
        <sz val="10"/>
        <color indexed="12"/>
        <rFont val="ＭＳ Ｐゴシック"/>
        <family val="3"/>
        <charset val="128"/>
      </rPr>
      <t>担当業務</t>
    </r>
    <r>
      <rPr>
        <u/>
        <sz val="10"/>
        <color indexed="12"/>
        <rFont val="Arial"/>
        <family val="2"/>
      </rPr>
      <t>\10_</t>
    </r>
    <r>
      <rPr>
        <u/>
        <sz val="10"/>
        <color indexed="12"/>
        <rFont val="ＭＳ Ｐゴシック"/>
        <family val="3"/>
        <charset val="128"/>
      </rPr>
      <t>台数</t>
    </r>
    <r>
      <rPr>
        <u/>
        <sz val="10"/>
        <color indexed="12"/>
        <rFont val="Arial"/>
        <family val="2"/>
      </rPr>
      <t>\AA</t>
    </r>
    <r>
      <rPr>
        <u/>
        <sz val="10"/>
        <color indexed="12"/>
        <rFont val="ＭＳ Ｐゴシック"/>
        <family val="3"/>
        <charset val="128"/>
      </rPr>
      <t>実績</t>
    </r>
    <r>
      <rPr>
        <u/>
        <sz val="10"/>
        <color indexed="12"/>
        <rFont val="Arial"/>
        <family val="2"/>
      </rPr>
      <t>\24.3</t>
    </r>
    <r>
      <rPr>
        <u/>
        <sz val="10"/>
        <color indexed="12"/>
        <rFont val="ＭＳ Ｐゴシック"/>
        <family val="3"/>
        <charset val="128"/>
      </rPr>
      <t>期</t>
    </r>
    <r>
      <rPr>
        <u/>
        <sz val="10"/>
        <color indexed="12"/>
        <rFont val="Arial"/>
        <family val="2"/>
      </rPr>
      <t>(2023</t>
    </r>
    <r>
      <rPr>
        <u/>
        <sz val="10"/>
        <color indexed="12"/>
        <rFont val="ＭＳ Ｐゴシック"/>
        <family val="3"/>
        <charset val="128"/>
      </rPr>
      <t>年</t>
    </r>
    <r>
      <rPr>
        <u/>
        <sz val="10"/>
        <color indexed="12"/>
        <rFont val="Arial"/>
        <family val="2"/>
      </rPr>
      <t>4</t>
    </r>
    <r>
      <rPr>
        <u/>
        <sz val="10"/>
        <color indexed="12"/>
        <rFont val="ＭＳ Ｐゴシック"/>
        <family val="3"/>
        <charset val="128"/>
      </rPr>
      <t>月～</t>
    </r>
    <r>
      <rPr>
        <u/>
        <sz val="10"/>
        <color indexed="12"/>
        <rFont val="Arial"/>
        <family val="2"/>
      </rPr>
      <t>2024</t>
    </r>
    <r>
      <rPr>
        <u/>
        <sz val="10"/>
        <color indexed="12"/>
        <rFont val="ＭＳ Ｐゴシック"/>
        <family val="3"/>
        <charset val="128"/>
      </rPr>
      <t>年</t>
    </r>
    <r>
      <rPr>
        <u/>
        <sz val="10"/>
        <color indexed="12"/>
        <rFont val="Arial"/>
        <family val="2"/>
      </rPr>
      <t>3</t>
    </r>
    <r>
      <rPr>
        <u/>
        <sz val="10"/>
        <color indexed="12"/>
        <rFont val="ＭＳ Ｐゴシック"/>
        <family val="3"/>
        <charset val="128"/>
      </rPr>
      <t>月</t>
    </r>
    <r>
      <rPr>
        <u/>
        <sz val="10"/>
        <color indexed="12"/>
        <rFont val="Arial"/>
        <family val="2"/>
      </rPr>
      <t>)\30_AA</t>
    </r>
    <r>
      <rPr>
        <u/>
        <sz val="10"/>
        <color indexed="12"/>
        <rFont val="ＭＳ Ｐゴシック"/>
        <family val="3"/>
        <charset val="128"/>
      </rPr>
      <t>実績四半期資料</t>
    </r>
    <r>
      <rPr>
        <u/>
        <sz val="10"/>
        <color indexed="12"/>
        <rFont val="Arial"/>
        <family val="2"/>
      </rPr>
      <t>\Works-i</t>
    </r>
    <r>
      <rPr>
        <u/>
        <sz val="10"/>
        <color indexed="12"/>
        <rFont val="ＭＳ Ｐゴシック"/>
        <family val="3"/>
        <charset val="128"/>
      </rPr>
      <t>用</t>
    </r>
  </si>
  <si>
    <t>\\10.51.3.13\財務部\10_担当業務\10_台数\AA実績\24.3期(2023年4月～2024年3月)\30_AA実績四半期資料\Works-i用</t>
  </si>
  <si>
    <r>
      <rPr>
        <sz val="10"/>
        <rFont val="ＭＳ ゴシック"/>
        <family val="3"/>
        <charset val="128"/>
      </rPr>
      <t>●</t>
    </r>
    <r>
      <rPr>
        <sz val="10"/>
        <rFont val="Arial"/>
        <family val="2"/>
      </rPr>
      <t>JBA</t>
    </r>
    <r>
      <rPr>
        <sz val="10"/>
        <rFont val="ＭＳ ゴシック"/>
        <family val="3"/>
        <charset val="128"/>
      </rPr>
      <t>シェア</t>
    </r>
    <r>
      <rPr>
        <sz val="10"/>
        <rFont val="Arial"/>
        <family val="2"/>
      </rPr>
      <t>(JBA</t>
    </r>
    <r>
      <rPr>
        <sz val="10"/>
        <rFont val="ＭＳ ゴシック"/>
        <family val="3"/>
        <charset val="128"/>
      </rPr>
      <t>ﾌｫﾙﾀﾞより</t>
    </r>
    <r>
      <rPr>
        <sz val="10"/>
        <rFont val="Arial"/>
        <family val="2"/>
      </rPr>
      <t>).xlsm</t>
    </r>
    <phoneticPr fontId="17"/>
  </si>
  <si>
    <t>\\10.51.3.13\財務部\50_開示・IR資料関連\50_DATABOOK\2403\追加資料</t>
    <phoneticPr fontId="29"/>
  </si>
  <si>
    <r>
      <t>\\10.51.3.13\</t>
    </r>
    <r>
      <rPr>
        <u/>
        <sz val="10"/>
        <color indexed="12"/>
        <rFont val="ＭＳ Ｐゴシック"/>
        <family val="3"/>
        <charset val="128"/>
      </rPr>
      <t>財務部</t>
    </r>
    <r>
      <rPr>
        <u/>
        <sz val="10"/>
        <color indexed="12"/>
        <rFont val="Arial"/>
        <family val="2"/>
      </rPr>
      <t>\10_</t>
    </r>
    <r>
      <rPr>
        <u/>
        <sz val="10"/>
        <color indexed="12"/>
        <rFont val="ＭＳ Ｐゴシック"/>
        <family val="3"/>
        <charset val="128"/>
      </rPr>
      <t>担当業務</t>
    </r>
    <r>
      <rPr>
        <u/>
        <sz val="10"/>
        <color indexed="12"/>
        <rFont val="Arial"/>
        <family val="2"/>
      </rPr>
      <t>\10_</t>
    </r>
    <r>
      <rPr>
        <u/>
        <sz val="10"/>
        <color indexed="12"/>
        <rFont val="ＭＳ Ｐゴシック"/>
        <family val="3"/>
        <charset val="128"/>
      </rPr>
      <t>台数</t>
    </r>
    <r>
      <rPr>
        <u/>
        <sz val="10"/>
        <color indexed="12"/>
        <rFont val="Arial"/>
        <family val="2"/>
      </rPr>
      <t>\AA</t>
    </r>
    <r>
      <rPr>
        <u/>
        <sz val="10"/>
        <color indexed="12"/>
        <rFont val="ＭＳ Ｐゴシック"/>
        <family val="3"/>
        <charset val="128"/>
      </rPr>
      <t>実績</t>
    </r>
    <r>
      <rPr>
        <u/>
        <sz val="10"/>
        <color indexed="12"/>
        <rFont val="Arial"/>
        <family val="2"/>
      </rPr>
      <t>\24.3</t>
    </r>
    <r>
      <rPr>
        <u/>
        <sz val="10"/>
        <color indexed="12"/>
        <rFont val="ＭＳ Ｐゴシック"/>
        <family val="3"/>
        <charset val="128"/>
      </rPr>
      <t>期</t>
    </r>
    <r>
      <rPr>
        <u/>
        <sz val="10"/>
        <color indexed="12"/>
        <rFont val="Arial"/>
        <family val="2"/>
      </rPr>
      <t>(2023</t>
    </r>
    <r>
      <rPr>
        <u/>
        <sz val="10"/>
        <color indexed="12"/>
        <rFont val="ＭＳ Ｐゴシック"/>
        <family val="3"/>
        <charset val="128"/>
      </rPr>
      <t>年</t>
    </r>
    <r>
      <rPr>
        <u/>
        <sz val="10"/>
        <color indexed="12"/>
        <rFont val="Arial"/>
        <family val="2"/>
      </rPr>
      <t>4</t>
    </r>
    <r>
      <rPr>
        <u/>
        <sz val="10"/>
        <color indexed="12"/>
        <rFont val="ＭＳ Ｐゴシック"/>
        <family val="3"/>
        <charset val="128"/>
      </rPr>
      <t>月～</t>
    </r>
    <r>
      <rPr>
        <u/>
        <sz val="10"/>
        <color indexed="12"/>
        <rFont val="Arial"/>
        <family val="2"/>
      </rPr>
      <t>2024</t>
    </r>
    <r>
      <rPr>
        <u/>
        <sz val="10"/>
        <color indexed="12"/>
        <rFont val="ＭＳ Ｐゴシック"/>
        <family val="3"/>
        <charset val="128"/>
      </rPr>
      <t>年</t>
    </r>
    <r>
      <rPr>
        <u/>
        <sz val="10"/>
        <color indexed="12"/>
        <rFont val="Arial"/>
        <family val="2"/>
      </rPr>
      <t>3</t>
    </r>
    <r>
      <rPr>
        <u/>
        <sz val="10"/>
        <color indexed="12"/>
        <rFont val="ＭＳ Ｐゴシック"/>
        <family val="3"/>
        <charset val="128"/>
      </rPr>
      <t>月</t>
    </r>
    <r>
      <rPr>
        <u/>
        <sz val="10"/>
        <color indexed="12"/>
        <rFont val="Arial"/>
        <family val="2"/>
      </rPr>
      <t>)\20_</t>
    </r>
    <r>
      <rPr>
        <u/>
        <sz val="10"/>
        <color indexed="12"/>
        <rFont val="ＭＳ Ｐゴシック"/>
        <family val="3"/>
        <charset val="128"/>
      </rPr>
      <t>車種別</t>
    </r>
    <r>
      <rPr>
        <u/>
        <sz val="10"/>
        <color indexed="12"/>
        <rFont val="Arial"/>
        <family val="2"/>
      </rPr>
      <t>AA</t>
    </r>
    <r>
      <rPr>
        <u/>
        <sz val="10"/>
        <color indexed="12"/>
        <rFont val="ＭＳ Ｐゴシック"/>
        <family val="3"/>
        <charset val="128"/>
      </rPr>
      <t>実績</t>
    </r>
  </si>
  <si>
    <r>
      <t>\\10.51.3.13\</t>
    </r>
    <r>
      <rPr>
        <u/>
        <sz val="10"/>
        <color indexed="12"/>
        <rFont val="ＭＳ Ｐゴシック"/>
        <family val="3"/>
        <charset val="128"/>
      </rPr>
      <t>財務部</t>
    </r>
    <r>
      <rPr>
        <u/>
        <sz val="10"/>
        <color indexed="12"/>
        <rFont val="Arial"/>
        <family val="2"/>
      </rPr>
      <t>\10_</t>
    </r>
    <r>
      <rPr>
        <u/>
        <sz val="10"/>
        <color indexed="12"/>
        <rFont val="ＭＳ Ｐゴシック"/>
        <family val="3"/>
        <charset val="128"/>
      </rPr>
      <t>担当業務</t>
    </r>
    <r>
      <rPr>
        <u/>
        <sz val="10"/>
        <color indexed="12"/>
        <rFont val="Arial"/>
        <family val="2"/>
      </rPr>
      <t>\10_</t>
    </r>
    <r>
      <rPr>
        <u/>
        <sz val="10"/>
        <color indexed="12"/>
        <rFont val="ＭＳ Ｐゴシック"/>
        <family val="3"/>
        <charset val="128"/>
      </rPr>
      <t>台数</t>
    </r>
    <r>
      <rPr>
        <u/>
        <sz val="10"/>
        <color indexed="12"/>
        <rFont val="Arial"/>
        <family val="2"/>
      </rPr>
      <t>\AA</t>
    </r>
    <r>
      <rPr>
        <u/>
        <sz val="10"/>
        <color indexed="12"/>
        <rFont val="ＭＳ Ｐゴシック"/>
        <family val="3"/>
        <charset val="128"/>
      </rPr>
      <t>実績</t>
    </r>
    <r>
      <rPr>
        <u/>
        <sz val="10"/>
        <color indexed="12"/>
        <rFont val="Arial"/>
        <family val="2"/>
      </rPr>
      <t>\24.3</t>
    </r>
    <r>
      <rPr>
        <u/>
        <sz val="10"/>
        <color indexed="12"/>
        <rFont val="ＭＳ Ｐゴシック"/>
        <family val="3"/>
        <charset val="128"/>
      </rPr>
      <t>期</t>
    </r>
    <r>
      <rPr>
        <u/>
        <sz val="10"/>
        <color indexed="12"/>
        <rFont val="Arial"/>
        <family val="2"/>
      </rPr>
      <t>(2023</t>
    </r>
    <r>
      <rPr>
        <u/>
        <sz val="10"/>
        <color indexed="12"/>
        <rFont val="ＭＳ Ｐゴシック"/>
        <family val="3"/>
        <charset val="128"/>
      </rPr>
      <t>年</t>
    </r>
    <r>
      <rPr>
        <u/>
        <sz val="10"/>
        <color indexed="12"/>
        <rFont val="Arial"/>
        <family val="2"/>
      </rPr>
      <t>4</t>
    </r>
    <r>
      <rPr>
        <u/>
        <sz val="10"/>
        <color indexed="12"/>
        <rFont val="ＭＳ Ｐゴシック"/>
        <family val="3"/>
        <charset val="128"/>
      </rPr>
      <t>月～</t>
    </r>
    <r>
      <rPr>
        <u/>
        <sz val="10"/>
        <color indexed="12"/>
        <rFont val="Arial"/>
        <family val="2"/>
      </rPr>
      <t>2024</t>
    </r>
    <r>
      <rPr>
        <u/>
        <sz val="10"/>
        <color indexed="12"/>
        <rFont val="ＭＳ Ｐゴシック"/>
        <family val="3"/>
        <charset val="128"/>
      </rPr>
      <t>年</t>
    </r>
    <r>
      <rPr>
        <u/>
        <sz val="10"/>
        <color indexed="12"/>
        <rFont val="Arial"/>
        <family val="2"/>
      </rPr>
      <t>3</t>
    </r>
    <r>
      <rPr>
        <u/>
        <sz val="10"/>
        <color indexed="12"/>
        <rFont val="ＭＳ Ｐゴシック"/>
        <family val="3"/>
        <charset val="128"/>
      </rPr>
      <t>月</t>
    </r>
    <r>
      <rPr>
        <u/>
        <sz val="10"/>
        <color indexed="12"/>
        <rFont val="Arial"/>
        <family val="2"/>
      </rPr>
      <t>)\10_</t>
    </r>
    <r>
      <rPr>
        <u/>
        <sz val="10"/>
        <color indexed="12"/>
        <rFont val="ＭＳ Ｐゴシック"/>
        <family val="3"/>
        <charset val="128"/>
      </rPr>
      <t>会場別実績表</t>
    </r>
    <r>
      <rPr>
        <u/>
        <sz val="10"/>
        <color indexed="12"/>
        <rFont val="Arial"/>
        <family val="2"/>
      </rPr>
      <t>\4_JBA</t>
    </r>
    <r>
      <rPr>
        <u/>
        <sz val="10"/>
        <color indexed="12"/>
        <rFont val="ＭＳ Ｐゴシック"/>
        <family val="3"/>
        <charset val="128"/>
      </rPr>
      <t>実績表</t>
    </r>
  </si>
  <si>
    <r>
      <t>USS JAPAN</t>
    </r>
    <r>
      <rPr>
        <sz val="8"/>
        <rFont val="メイリオ"/>
        <family val="3"/>
        <charset val="128"/>
      </rPr>
      <t>会員数　</t>
    </r>
    <r>
      <rPr>
        <sz val="8"/>
        <rFont val="Arial"/>
        <family val="2"/>
      </rPr>
      <t>USS JAPAN Members</t>
    </r>
    <rPh sb="9" eb="11">
      <t>カイイン</t>
    </rPh>
    <rPh sb="11" eb="12">
      <t>スウ</t>
    </rPh>
    <phoneticPr fontId="14"/>
  </si>
  <si>
    <t>USS JAPAN会員数</t>
    <rPh sb="9" eb="11">
      <t>カイイン</t>
    </rPh>
    <rPh sb="11" eb="12">
      <t>スウ</t>
    </rPh>
    <phoneticPr fontId="14"/>
  </si>
  <si>
    <t>CIS会員数</t>
    <rPh sb="3" eb="5">
      <t>カイイン</t>
    </rPh>
    <rPh sb="5" eb="6">
      <t>スウ</t>
    </rPh>
    <phoneticPr fontId="14"/>
  </si>
  <si>
    <r>
      <t xml:space="preserve"> USS JAPAN</t>
    </r>
    <r>
      <rPr>
        <sz val="6"/>
        <rFont val="メイリオ"/>
        <family val="3"/>
        <charset val="128"/>
      </rPr>
      <t>落札台数　</t>
    </r>
    <r>
      <rPr>
        <sz val="6"/>
        <rFont val="Arial"/>
        <family val="2"/>
      </rPr>
      <t xml:space="preserve">No. of Successful USS JAPAN Bids </t>
    </r>
    <rPh sb="10" eb="12">
      <t>ラクサツ</t>
    </rPh>
    <rPh sb="12" eb="14">
      <t>ダイスウ</t>
    </rPh>
    <phoneticPr fontId="14"/>
  </si>
  <si>
    <r>
      <t xml:space="preserve"> CIS</t>
    </r>
    <r>
      <rPr>
        <sz val="6"/>
        <rFont val="メイリオ"/>
        <family val="3"/>
        <charset val="128"/>
      </rPr>
      <t>落札台数　</t>
    </r>
    <r>
      <rPr>
        <sz val="6"/>
        <rFont val="Arial"/>
        <family val="2"/>
      </rPr>
      <t>No. of Successful CIS Bids</t>
    </r>
    <rPh sb="4" eb="6">
      <t>ラクサツ</t>
    </rPh>
    <rPh sb="6" eb="8">
      <t>ダイスウ</t>
    </rPh>
    <phoneticPr fontId="14"/>
  </si>
  <si>
    <r>
      <t xml:space="preserve"> CIS</t>
    </r>
    <r>
      <rPr>
        <sz val="7"/>
        <rFont val="メイリオ"/>
        <family val="3"/>
        <charset val="128"/>
      </rPr>
      <t>会員　</t>
    </r>
    <r>
      <rPr>
        <sz val="7"/>
        <rFont val="Arial"/>
        <family val="2"/>
      </rPr>
      <t>CIS Members</t>
    </r>
    <phoneticPr fontId="14"/>
  </si>
  <si>
    <r>
      <t xml:space="preserve"> USS JAPAN</t>
    </r>
    <r>
      <rPr>
        <sz val="7"/>
        <rFont val="メイリオ"/>
        <family val="3"/>
        <charset val="128"/>
      </rPr>
      <t>会員　</t>
    </r>
    <r>
      <rPr>
        <sz val="7"/>
        <rFont val="Arial"/>
        <family val="2"/>
      </rPr>
      <t>USS JAPAN Members</t>
    </r>
    <rPh sb="10" eb="12">
      <t>カイイン</t>
    </rPh>
    <phoneticPr fontId="17"/>
  </si>
  <si>
    <r>
      <t xml:space="preserve">USS </t>
    </r>
    <r>
      <rPr>
        <sz val="10"/>
        <rFont val="Arial"/>
        <family val="2"/>
      </rPr>
      <t>JAPAN</t>
    </r>
    <r>
      <rPr>
        <sz val="10"/>
        <rFont val="ＭＳ Ｐゴシック"/>
        <family val="3"/>
        <charset val="128"/>
      </rPr>
      <t>落札台数　</t>
    </r>
    <r>
      <rPr>
        <sz val="10"/>
        <rFont val="Arial"/>
        <family val="2"/>
      </rPr>
      <t xml:space="preserve">No. of Successful USS JAPAN Bids </t>
    </r>
    <rPh sb="9" eb="11">
      <t>ラクサツ</t>
    </rPh>
    <rPh sb="11" eb="13">
      <t>ダイスウ</t>
    </rPh>
    <phoneticPr fontId="14"/>
  </si>
  <si>
    <r>
      <t>CIS</t>
    </r>
    <r>
      <rPr>
        <sz val="10"/>
        <rFont val="ＭＳ Ｐゴシック"/>
        <family val="3"/>
        <charset val="128"/>
      </rPr>
      <t>落札台数　</t>
    </r>
    <r>
      <rPr>
        <sz val="10"/>
        <rFont val="Arial"/>
        <family val="2"/>
      </rPr>
      <t>No. of Successful CIS Bids</t>
    </r>
    <rPh sb="3" eb="5">
      <t>ラクサツ</t>
    </rPh>
    <rPh sb="5" eb="7">
      <t>ダイスウ</t>
    </rPh>
    <phoneticPr fontId="14"/>
  </si>
  <si>
    <r>
      <t>CIS</t>
    </r>
    <r>
      <rPr>
        <sz val="10"/>
        <rFont val="ＭＳ Ｐゴシック"/>
        <family val="3"/>
        <charset val="128"/>
      </rPr>
      <t>会員　</t>
    </r>
    <r>
      <rPr>
        <sz val="10"/>
        <rFont val="Arial"/>
        <family val="2"/>
      </rPr>
      <t>CIS Members</t>
    </r>
    <phoneticPr fontId="14"/>
  </si>
  <si>
    <r>
      <t>USS JAPAN</t>
    </r>
    <r>
      <rPr>
        <sz val="10"/>
        <rFont val="ＭＳ Ｐゴシック"/>
        <family val="3"/>
        <charset val="128"/>
      </rPr>
      <t>会員　</t>
    </r>
    <r>
      <rPr>
        <sz val="10"/>
        <rFont val="Arial"/>
        <family val="2"/>
      </rPr>
      <t>USS JAPAN Members</t>
    </r>
    <rPh sb="9" eb="11">
      <t>カイイン</t>
    </rPh>
    <phoneticPr fontId="17"/>
  </si>
  <si>
    <r>
      <t>CIS</t>
    </r>
    <r>
      <rPr>
        <sz val="8"/>
        <rFont val="メイリオ"/>
        <family val="3"/>
        <charset val="128"/>
      </rPr>
      <t>会員数　</t>
    </r>
    <r>
      <rPr>
        <sz val="8"/>
        <rFont val="Arial"/>
        <family val="2"/>
      </rPr>
      <t>CIS Members</t>
    </r>
    <rPh sb="3" eb="6">
      <t>カイインスウ</t>
    </rPh>
    <phoneticPr fontId="14"/>
  </si>
  <si>
    <t>CIS会員数</t>
    <rPh sb="3" eb="6">
      <t>カイインスウ</t>
    </rPh>
    <phoneticPr fontId="14"/>
  </si>
  <si>
    <t>※CIS会員およびUSS JAPAN会員への入会条件として現車会員であることが求められるため、CIS会員・USS JAPAN会員は必ず現車会員となります。</t>
    <rPh sb="4" eb="6">
      <t>カイイン</t>
    </rPh>
    <rPh sb="18" eb="20">
      <t>カイイン</t>
    </rPh>
    <phoneticPr fontId="17"/>
  </si>
  <si>
    <t>* All CIS and USS JAPAN members are also on-site auction members because on-site membership is a requirement for these other two membership categories.</t>
    <phoneticPr fontId="17"/>
  </si>
  <si>
    <t>※CIS会員およびUSS JAPAN会員への入会条件として現車会員であることが求められるため、CIS会員・USS JAPAN会員は必ず現車会員となります。</t>
    <phoneticPr fontId="17"/>
  </si>
  <si>
    <t>※CISおよびUSS JAPANによる落札を「外部落札」と表します。</t>
    <rPh sb="19" eb="21">
      <t>ラクサツ</t>
    </rPh>
    <rPh sb="23" eb="25">
      <t>ガイブ</t>
    </rPh>
    <rPh sb="25" eb="27">
      <t>ラクサツ</t>
    </rPh>
    <rPh sb="29" eb="30">
      <t>アラワ</t>
    </rPh>
    <phoneticPr fontId="14"/>
  </si>
  <si>
    <t>チリ</t>
  </si>
  <si>
    <t>モンゴル</t>
  </si>
  <si>
    <t>　チリ　Chile</t>
    <phoneticPr fontId="29"/>
  </si>
  <si>
    <t>貸倒引当金の増加額</t>
    <rPh sb="6" eb="8">
      <t>ゾウカ</t>
    </rPh>
    <phoneticPr fontId="14"/>
  </si>
  <si>
    <r>
      <t>CIS</t>
    </r>
    <r>
      <rPr>
        <sz val="8"/>
        <rFont val="メイリオ"/>
        <family val="3"/>
        <charset val="128"/>
      </rPr>
      <t>会員数　</t>
    </r>
    <r>
      <rPr>
        <sz val="8"/>
        <rFont val="Arial"/>
        <family val="2"/>
      </rPr>
      <t>CIS Members</t>
    </r>
    <rPh sb="3" eb="5">
      <t>カイイン</t>
    </rPh>
    <rPh sb="5" eb="6">
      <t>スウ</t>
    </rPh>
    <phoneticPr fontId="14"/>
  </si>
  <si>
    <t>2015.3</t>
    <phoneticPr fontId="29"/>
  </si>
  <si>
    <t>2016.3</t>
    <phoneticPr fontId="29"/>
  </si>
  <si>
    <t>2017.3</t>
    <phoneticPr fontId="29"/>
  </si>
  <si>
    <t>2018.3</t>
    <phoneticPr fontId="29"/>
  </si>
  <si>
    <t>2019.3</t>
    <phoneticPr fontId="29"/>
  </si>
  <si>
    <t>2020.3</t>
    <phoneticPr fontId="29"/>
  </si>
  <si>
    <t>2021.3</t>
    <phoneticPr fontId="29"/>
  </si>
  <si>
    <t>2022.3</t>
    <phoneticPr fontId="29"/>
  </si>
  <si>
    <t>2023.3</t>
    <phoneticPr fontId="29"/>
  </si>
  <si>
    <t>【2024.4.1株式分割前】</t>
    <rPh sb="9" eb="11">
      <t>カブシキ</t>
    </rPh>
    <rPh sb="11" eb="14">
      <t>ブンカツマエ</t>
    </rPh>
    <phoneticPr fontId="29"/>
  </si>
  <si>
    <t>２倍にする</t>
    <rPh sb="1" eb="2">
      <t>バイ</t>
    </rPh>
    <phoneticPr fontId="29"/>
  </si>
  <si>
    <t>未定</t>
    <rPh sb="0" eb="2">
      <t>ミテイ</t>
    </rPh>
    <phoneticPr fontId="29"/>
  </si>
  <si>
    <t>1/2にして小数点第3位切り捨て</t>
    <rPh sb="6" eb="9">
      <t>ショウスウテン</t>
    </rPh>
    <rPh sb="9" eb="10">
      <t>ダイ</t>
    </rPh>
    <rPh sb="11" eb="12">
      <t>イ</t>
    </rPh>
    <rPh sb="12" eb="13">
      <t>キ</t>
    </rPh>
    <rPh sb="14" eb="15">
      <t>ス</t>
    </rPh>
    <phoneticPr fontId="29"/>
  </si>
  <si>
    <t>(出所：(株)ユーストカー)　(Source: USEDCAR Co., Ltd.)</t>
    <rPh sb="1" eb="3">
      <t>シュッショ</t>
    </rPh>
    <rPh sb="5" eb="6">
      <t>カブ</t>
    </rPh>
    <phoneticPr fontId="17"/>
  </si>
  <si>
    <t>有形固定資産売却益</t>
    <phoneticPr fontId="14"/>
  </si>
  <si>
    <t>有形固定資産除売却損</t>
    <phoneticPr fontId="14"/>
  </si>
  <si>
    <t>有価証券売却損</t>
    <phoneticPr fontId="14"/>
  </si>
  <si>
    <t>長期前払費用償却額</t>
    <phoneticPr fontId="14"/>
  </si>
  <si>
    <t>債務保証損失引当金の減少額</t>
    <phoneticPr fontId="14"/>
  </si>
  <si>
    <t>役員退職慰労引当金の減少額</t>
    <phoneticPr fontId="14"/>
  </si>
  <si>
    <t>受取利息及び受取配当金</t>
    <phoneticPr fontId="14"/>
  </si>
  <si>
    <t>支払利息</t>
    <phoneticPr fontId="14"/>
  </si>
  <si>
    <t>※2016.3期において、USS JAPAN落札台数の集計方法を変更しております。</t>
    <phoneticPr fontId="29"/>
  </si>
  <si>
    <r>
      <rPr>
        <sz val="8"/>
        <rFont val="メイリオ"/>
        <family val="3"/>
        <charset val="128"/>
      </rPr>
      <t>二輪新車販売台数　</t>
    </r>
    <r>
      <rPr>
        <sz val="8"/>
        <rFont val="Arial"/>
        <family val="2"/>
      </rPr>
      <t>No. of Motorcycles for Sale</t>
    </r>
    <rPh sb="2" eb="3">
      <t>シン</t>
    </rPh>
    <phoneticPr fontId="17"/>
  </si>
  <si>
    <t>BDS合計</t>
    <rPh sb="3" eb="5">
      <t>ゴウケイ</t>
    </rPh>
    <phoneticPr fontId="17"/>
  </si>
  <si>
    <t>BDS</t>
  </si>
  <si>
    <t>JBA</t>
    <phoneticPr fontId="17"/>
  </si>
  <si>
    <r>
      <t>1</t>
    </r>
    <r>
      <rPr>
        <sz val="8"/>
        <rFont val="メイリオ"/>
        <family val="3"/>
        <charset val="128"/>
      </rPr>
      <t>台当たり落札手数料　</t>
    </r>
    <r>
      <rPr>
        <sz val="8"/>
        <rFont val="Arial"/>
        <family val="2"/>
      </rPr>
      <t>Successful Bid Fees per Vehicle Contracts completed</t>
    </r>
    <rPh sb="1" eb="2">
      <t>ダイ</t>
    </rPh>
    <rPh sb="2" eb="3">
      <t>ア</t>
    </rPh>
    <rPh sb="5" eb="7">
      <t>ラクサツ</t>
    </rPh>
    <rPh sb="7" eb="10">
      <t>テスウリョウ</t>
    </rPh>
    <phoneticPr fontId="14"/>
  </si>
  <si>
    <t>←毎年数式修正（過去10年平均増減率）</t>
    <rPh sb="1" eb="3">
      <t>マイトシ</t>
    </rPh>
    <rPh sb="3" eb="5">
      <t>スウシキ</t>
    </rPh>
    <rPh sb="5" eb="7">
      <t>シュウセイ</t>
    </rPh>
    <rPh sb="8" eb="10">
      <t>カコ</t>
    </rPh>
    <rPh sb="12" eb="13">
      <t>ネン</t>
    </rPh>
    <rPh sb="13" eb="18">
      <t>ヘイキンゾウゲンリツ</t>
    </rPh>
    <phoneticPr fontId="29"/>
  </si>
  <si>
    <t>※2023.3期より、「その他」に含まれていた「リサイクル」を報告セグメントとし、2022.3期以前の数値は変更後の区分に基づき作成しております。</t>
    <phoneticPr fontId="29"/>
  </si>
  <si>
    <t>※当社は、2024年4月1日付けで普通株式1株につき2株の割合で株式分割を行っております。1株当たりデータ、発行済株式数（自己株式除く）および自己株式数は、株式分割を遡及して修正表示しております。</t>
  </si>
  <si>
    <t>* There was a 2-for-1 stock split on April 1, 2024. Per Share Information, Number of Shares Outstanding (excl. Treasury Shares) and Treasury Shares have been retroactively adjusted for the stock split.</t>
  </si>
  <si>
    <t>* There was a 2-for-1 stock split on April 1, 2024. Per Share Information, Number of Shares Outstanding (excl. Treasury Shares) and Treasury Shares have been retroactively adjusted for the stock split.</t>
    <phoneticPr fontId="17"/>
  </si>
  <si>
    <t>※当社は、2024年4月1日付けで普通株式1株につき2株の割合で株式分割を行っております。1株当たりデータ、発行済株式数（自己株式除く）および自己株式数は、株式分割を遡及して修正表示しております。</t>
    <phoneticPr fontId="29"/>
  </si>
  <si>
    <t>　■「その他」について、2023.3期まではTVと表記していたが、USS JAPANの表記変更に合わせて検討した結果、該当はオークネットだけで現在TVAAではなくオンラインオークションを運営していることが発覚。</t>
    <rPh sb="5" eb="6">
      <t>タ</t>
    </rPh>
    <rPh sb="18" eb="19">
      <t>キ</t>
    </rPh>
    <rPh sb="25" eb="27">
      <t>ヒョウキ</t>
    </rPh>
    <phoneticPr fontId="17"/>
  </si>
  <si>
    <r>
      <rPr>
        <sz val="10"/>
        <rFont val="Arial"/>
        <family val="2"/>
      </rPr>
      <t xml:space="preserve">         </t>
    </r>
    <r>
      <rPr>
        <sz val="10"/>
        <rFont val="ＭＳ Ｐゴシック"/>
        <family val="3"/>
        <charset val="128"/>
      </rPr>
      <t>地域別のシェアの合計が</t>
    </r>
    <r>
      <rPr>
        <sz val="10"/>
        <rFont val="Arial"/>
        <family val="2"/>
      </rPr>
      <t>100</t>
    </r>
    <r>
      <rPr>
        <sz val="10"/>
        <rFont val="ＭＳ Ｐゴシック"/>
        <family val="3"/>
        <charset val="128"/>
      </rPr>
      <t>％にならないときにここで調整していたことも確認できたため「その他」と表記。</t>
    </r>
    <phoneticPr fontId="17"/>
  </si>
  <si>
    <t>　　ユーストカー月次は月次でユーストカーから報告を受けた台数を積み上げて作成しているのに対して、暦年実績はユーストカーから暦年台数として報告を受けた台数であるため、DATABOOKでは前者の数字を使用する。</t>
    <phoneticPr fontId="29"/>
  </si>
  <si>
    <t xml:space="preserve">　■業態別の台数はF4300US_yy12ユーストカー暦年実績Ver1.0.1.xlsmとF4100US_yy03全国AA実績（ユーストカー月次）Ver1.0.0.xlsmで異なることがある。
</t>
    <phoneticPr fontId="17"/>
  </si>
  <si>
    <r>
      <t>　　例：</t>
    </r>
    <r>
      <rPr>
        <sz val="10"/>
        <rFont val="Arial"/>
        <family val="2"/>
      </rPr>
      <t>2023</t>
    </r>
    <r>
      <rPr>
        <sz val="10"/>
        <rFont val="ＭＳ Ｐゴシック"/>
        <family val="3"/>
        <charset val="128"/>
      </rPr>
      <t>年</t>
    </r>
    <r>
      <rPr>
        <sz val="10"/>
        <rFont val="Arial"/>
        <family val="2"/>
      </rPr>
      <t>JU</t>
    </r>
    <r>
      <rPr>
        <sz val="10"/>
        <rFont val="ＭＳ Ｐゴシック"/>
        <family val="3"/>
        <charset val="128"/>
      </rPr>
      <t>系の台数は暦年実績</t>
    </r>
    <r>
      <rPr>
        <sz val="10"/>
        <rFont val="Arial"/>
        <family val="2"/>
      </rPr>
      <t>1,440,078</t>
    </r>
    <r>
      <rPr>
        <sz val="10"/>
        <rFont val="ＭＳ Ｐゴシック"/>
        <family val="3"/>
        <charset val="128"/>
      </rPr>
      <t>台、月次実績合計</t>
    </r>
    <r>
      <rPr>
        <sz val="10"/>
        <rFont val="Arial"/>
        <family val="2"/>
      </rPr>
      <t>1,439,842</t>
    </r>
    <r>
      <rPr>
        <sz val="10"/>
        <rFont val="ＭＳ Ｐゴシック"/>
        <family val="3"/>
        <charset val="128"/>
      </rPr>
      <t>台で、暦年実績を使用する。</t>
    </r>
    <phoneticPr fontId="29"/>
  </si>
  <si>
    <t>　■2024年3月期にJBAが作成した資料で転記ミスによる誤りがあったことが発覚したため、2022年：405,204→405,201、2023年：405,756→405,216に修正。</t>
    <phoneticPr fontId="17"/>
  </si>
  <si>
    <t>　以後、財務部のチェックを経た資料から作成する</t>
    <rPh sb="1" eb="3">
      <t>イゴ</t>
    </rPh>
    <rPh sb="4" eb="6">
      <t>ザイム</t>
    </rPh>
    <rPh sb="6" eb="7">
      <t>ブ</t>
    </rPh>
    <rPh sb="13" eb="14">
      <t>ヘ</t>
    </rPh>
    <rPh sb="15" eb="17">
      <t>シリョウ</t>
    </rPh>
    <rPh sb="19" eb="21">
      <t>サクセイ</t>
    </rPh>
    <phoneticPr fontId="17"/>
  </si>
  <si>
    <t>　■ラビット店舗数は厳密にはオートオークション関連の指標に該当しないが、削除すると困る投資家もいるかもしれないので、記載を継続する(2024年3月期川崎次長確認)</t>
    <rPh sb="6" eb="9">
      <t>テンポスウ</t>
    </rPh>
    <rPh sb="10" eb="12">
      <t>ゲンミツ</t>
    </rPh>
    <rPh sb="23" eb="25">
      <t>カンレン</t>
    </rPh>
    <rPh sb="26" eb="28">
      <t>シヒョウ</t>
    </rPh>
    <rPh sb="29" eb="31">
      <t>ガイトウ</t>
    </rPh>
    <rPh sb="36" eb="38">
      <t>サクジョ</t>
    </rPh>
    <rPh sb="41" eb="42">
      <t>コマ</t>
    </rPh>
    <rPh sb="43" eb="46">
      <t>トウシカ</t>
    </rPh>
    <rPh sb="58" eb="60">
      <t>キサイ</t>
    </rPh>
    <rPh sb="61" eb="63">
      <t>ケイゾク</t>
    </rPh>
    <rPh sb="70" eb="71">
      <t>ネン</t>
    </rPh>
    <rPh sb="72" eb="74">
      <t>ガツキ</t>
    </rPh>
    <rPh sb="74" eb="76">
      <t>カワサキ</t>
    </rPh>
    <rPh sb="76" eb="78">
      <t>ジチョウ</t>
    </rPh>
    <rPh sb="78" eb="80">
      <t>カクニン</t>
    </rPh>
    <phoneticPr fontId="29"/>
  </si>
  <si>
    <t>1</t>
    <phoneticPr fontId="17"/>
  </si>
  <si>
    <t>JU愛知　JU Aichi</t>
    <rPh sb="2" eb="4">
      <t>アイチ</t>
    </rPh>
    <phoneticPr fontId="29"/>
  </si>
  <si>
    <r>
      <rPr>
        <sz val="7"/>
        <rFont val="メイリオ"/>
        <family val="3"/>
        <charset val="128"/>
        <scheme val="minor"/>
      </rPr>
      <t>アライバントラ</t>
    </r>
    <r>
      <rPr>
        <sz val="7"/>
        <rFont val="ＭＳ Ｐゴシック"/>
        <family val="3"/>
        <charset val="128"/>
      </rPr>
      <t>　</t>
    </r>
    <r>
      <rPr>
        <sz val="7"/>
        <rFont val="Arial"/>
        <family val="2"/>
      </rPr>
      <t>Arai Vans &amp; Trucks</t>
    </r>
    <phoneticPr fontId="29"/>
  </si>
  <si>
    <r>
      <t>CAA</t>
    </r>
    <r>
      <rPr>
        <sz val="8"/>
        <rFont val="メイリオ"/>
        <family val="3"/>
        <charset val="128"/>
      </rPr>
      <t>中部　</t>
    </r>
    <r>
      <rPr>
        <sz val="8"/>
        <rFont val="Arial"/>
        <family val="2"/>
      </rPr>
      <t>CAA Chubu</t>
    </r>
    <phoneticPr fontId="29"/>
  </si>
  <si>
    <t>3</t>
    <phoneticPr fontId="17"/>
  </si>
  <si>
    <t>2024.3</t>
  </si>
  <si>
    <t>　チリ　Chile</t>
  </si>
  <si>
    <t>　タイ　Thailand</t>
  </si>
  <si>
    <r>
      <rPr>
        <sz val="10"/>
        <rFont val="ＭＳ Ｐゴシック"/>
        <family val="3"/>
        <charset val="128"/>
      </rPr>
      <t>　アラブ首長国連邦　</t>
    </r>
    <r>
      <rPr>
        <sz val="10"/>
        <rFont val="Arial"/>
        <family val="2"/>
      </rPr>
      <t>UAE</t>
    </r>
    <phoneticPr fontId="29"/>
  </si>
  <si>
    <t>　アラブ首長国連邦　UAE</t>
    <phoneticPr fontId="29"/>
  </si>
  <si>
    <r>
      <rPr>
        <sz val="10"/>
        <rFont val="ＭＳ Ｐゴシック"/>
        <family val="3"/>
        <charset val="128"/>
      </rPr>
      <t>　ロシア　</t>
    </r>
    <r>
      <rPr>
        <sz val="10"/>
        <rFont val="Arial"/>
        <family val="2"/>
      </rPr>
      <t>Russia</t>
    </r>
    <phoneticPr fontId="29"/>
  </si>
  <si>
    <t>　ロシア　Russia</t>
    <phoneticPr fontId="29"/>
  </si>
  <si>
    <r>
      <rPr>
        <sz val="10"/>
        <rFont val="ＭＳ Ｐゴシック"/>
        <family val="3"/>
        <charset val="128"/>
      </rPr>
      <t>　モンゴル　</t>
    </r>
    <r>
      <rPr>
        <sz val="10"/>
        <rFont val="Arial"/>
        <family val="2"/>
      </rPr>
      <t>Mongolia</t>
    </r>
    <phoneticPr fontId="29"/>
  </si>
  <si>
    <r>
      <rPr>
        <sz val="10"/>
        <rFont val="ＭＳ Ｐゴシック"/>
        <family val="3"/>
        <charset val="128"/>
      </rPr>
      <t>　ニュージーランド　</t>
    </r>
    <r>
      <rPr>
        <sz val="10"/>
        <rFont val="Arial"/>
        <family val="2"/>
      </rPr>
      <t>New Zealand</t>
    </r>
    <phoneticPr fontId="29"/>
  </si>
  <si>
    <t>　ニュージーランド　New Zealand</t>
    <phoneticPr fontId="29"/>
  </si>
  <si>
    <t>　モンゴル　Mongolia</t>
    <phoneticPr fontId="29"/>
  </si>
  <si>
    <t xml:space="preserve"> CAA</t>
    <phoneticPr fontId="29"/>
  </si>
  <si>
    <t xml:space="preserve"> MIRIVE</t>
    <phoneticPr fontId="29"/>
  </si>
  <si>
    <t xml:space="preserve"> リサイクル
 Recycling Business</t>
    <phoneticPr fontId="29"/>
  </si>
  <si>
    <t xml:space="preserve"> その他
 Other Business</t>
    <rPh sb="3" eb="4">
      <t>タ</t>
    </rPh>
    <phoneticPr fontId="29"/>
  </si>
  <si>
    <t>AAその他収入+ﾘｻ事務収入+解体還付金+リース売上+他営業収入</t>
    <rPh sb="4" eb="5">
      <t>タ</t>
    </rPh>
    <rPh sb="5" eb="7">
      <t>シュウニュウ</t>
    </rPh>
    <rPh sb="10" eb="14">
      <t>ジムシュウニュウ</t>
    </rPh>
    <rPh sb="15" eb="17">
      <t>カイタイ</t>
    </rPh>
    <rPh sb="17" eb="20">
      <t>カンプキン</t>
    </rPh>
    <rPh sb="24" eb="26">
      <t>ウリアゲ</t>
    </rPh>
    <rPh sb="27" eb="30">
      <t>ホカエイギョウ</t>
    </rPh>
    <rPh sb="30" eb="32">
      <t>シュウニュウ</t>
    </rPh>
    <phoneticPr fontId="29"/>
  </si>
  <si>
    <t>営業貸付金の増加額</t>
    <rPh sb="0" eb="5">
      <t>エイギョウカシツケキン</t>
    </rPh>
    <rPh sb="6" eb="9">
      <t>ゾウカガク</t>
    </rPh>
    <phoneticPr fontId="9"/>
  </si>
  <si>
    <t>契約負債の増加額</t>
    <rPh sb="0" eb="4">
      <t>ケイヤクフサイ</t>
    </rPh>
    <rPh sb="5" eb="8">
      <t>ゾウカガク</t>
    </rPh>
    <phoneticPr fontId="14"/>
  </si>
  <si>
    <t>※</t>
    <phoneticPr fontId="14"/>
  </si>
  <si>
    <t>連結の範囲の変更を伴わない子会社株式の売却による収入</t>
    <rPh sb="0" eb="2">
      <t>レンケツ</t>
    </rPh>
    <rPh sb="3" eb="5">
      <t>ハンイ</t>
    </rPh>
    <rPh sb="6" eb="8">
      <t>ヘンコウ</t>
    </rPh>
    <rPh sb="9" eb="10">
      <t>トモナ</t>
    </rPh>
    <rPh sb="13" eb="18">
      <t>コカイシャカブシキ</t>
    </rPh>
    <rPh sb="19" eb="21">
      <t>バイキャク</t>
    </rPh>
    <rPh sb="24" eb="26">
      <t>シュウニュウ</t>
    </rPh>
    <phoneticPr fontId="14"/>
  </si>
  <si>
    <r>
      <t>短期借入金の純増減額　</t>
    </r>
    <r>
      <rPr>
        <sz val="8"/>
        <rFont val="Arial"/>
        <family val="2"/>
      </rPr>
      <t>Net Increase (Decrease) in Short-term Borrowings</t>
    </r>
    <rPh sb="0" eb="2">
      <t>タンキ</t>
    </rPh>
    <rPh sb="2" eb="4">
      <t>カリイレ</t>
    </rPh>
    <rPh sb="4" eb="5">
      <t>キン</t>
    </rPh>
    <rPh sb="6" eb="7">
      <t>ジュン</t>
    </rPh>
    <rPh sb="7" eb="9">
      <t>ゾウゲン</t>
    </rPh>
    <rPh sb="9" eb="10">
      <t>ゲンショウガク</t>
    </rPh>
    <phoneticPr fontId="17"/>
  </si>
  <si>
    <r>
      <t>長期借入金の純増減額　</t>
    </r>
    <r>
      <rPr>
        <sz val="8"/>
        <rFont val="Arial"/>
        <family val="2"/>
      </rPr>
      <t>Net Increase (Decrease) in Long-term Borrowings</t>
    </r>
    <rPh sb="0" eb="5">
      <t>チョウキカリイレキン</t>
    </rPh>
    <rPh sb="6" eb="7">
      <t>ジュン</t>
    </rPh>
    <rPh sb="7" eb="8">
      <t>ゾウ</t>
    </rPh>
    <rPh sb="8" eb="10">
      <t>ゲンガク</t>
    </rPh>
    <phoneticPr fontId="17"/>
  </si>
  <si>
    <t>※企業系とはオークション会場の経営を主業とする企業により運営される会場をいいます。</t>
    <rPh sb="1" eb="3">
      <t>キギョウ</t>
    </rPh>
    <rPh sb="3" eb="4">
      <t>ケイ</t>
    </rPh>
    <rPh sb="12" eb="14">
      <t>カイジョウ</t>
    </rPh>
    <rPh sb="15" eb="17">
      <t>ケイエイ</t>
    </rPh>
    <rPh sb="18" eb="19">
      <t>シュ</t>
    </rPh>
    <rPh sb="19" eb="20">
      <t>ギョウ</t>
    </rPh>
    <rPh sb="23" eb="25">
      <t>キギョウ</t>
    </rPh>
    <rPh sb="28" eb="30">
      <t>ウンエイ</t>
    </rPh>
    <rPh sb="33" eb="35">
      <t>カイジョウ</t>
    </rPh>
    <phoneticPr fontId="17"/>
  </si>
  <si>
    <t>※JU系とは(一社)日本中古自動車販売協会連合会傘下の各都道府県中古自動車販売商工組合により運営される会場をいいます。</t>
    <rPh sb="10" eb="12">
      <t>ニホン</t>
    </rPh>
    <rPh sb="12" eb="14">
      <t>チュウコ</t>
    </rPh>
    <rPh sb="14" eb="16">
      <t>ジドウ</t>
    </rPh>
    <rPh sb="16" eb="17">
      <t>シャ</t>
    </rPh>
    <rPh sb="17" eb="19">
      <t>ハンバイ</t>
    </rPh>
    <rPh sb="19" eb="21">
      <t>キョウカイ</t>
    </rPh>
    <rPh sb="21" eb="24">
      <t>レンゴウカイ</t>
    </rPh>
    <rPh sb="24" eb="26">
      <t>サンカ</t>
    </rPh>
    <rPh sb="27" eb="28">
      <t>カク</t>
    </rPh>
    <rPh sb="28" eb="30">
      <t>トドウ</t>
    </rPh>
    <rPh sb="30" eb="31">
      <t>フ</t>
    </rPh>
    <rPh sb="31" eb="32">
      <t>ケン</t>
    </rPh>
    <rPh sb="32" eb="34">
      <t>チュウコ</t>
    </rPh>
    <rPh sb="46" eb="48">
      <t>ウンエイ</t>
    </rPh>
    <rPh sb="51" eb="53">
      <t>カイジョウ</t>
    </rPh>
    <phoneticPr fontId="17"/>
  </si>
  <si>
    <t>”その他”が大きくなっていたり影響が大きい場合は、表示させるか検討が必要</t>
    <rPh sb="3" eb="4">
      <t>タ</t>
    </rPh>
    <rPh sb="6" eb="7">
      <t>オオ</t>
    </rPh>
    <rPh sb="15" eb="17">
      <t>エイキョウ</t>
    </rPh>
    <rPh sb="18" eb="19">
      <t>オオ</t>
    </rPh>
    <rPh sb="21" eb="23">
      <t>バアイ</t>
    </rPh>
    <rPh sb="25" eb="27">
      <t>ヒョウジ</t>
    </rPh>
    <rPh sb="31" eb="33">
      <t>ケントウ</t>
    </rPh>
    <rPh sb="34" eb="36">
      <t>ヒツヨウ</t>
    </rPh>
    <phoneticPr fontId="17"/>
  </si>
  <si>
    <t>★集計科目について★</t>
  </si>
  <si>
    <r>
      <rPr>
        <sz val="9"/>
        <rFont val="メイリオ"/>
        <family val="3"/>
        <charset val="128"/>
      </rPr>
      <t>土地　</t>
    </r>
    <r>
      <rPr>
        <sz val="9"/>
        <rFont val="Arial"/>
        <family val="2"/>
      </rPr>
      <t>Land</t>
    </r>
    <phoneticPr fontId="17"/>
  </si>
  <si>
    <r>
      <rPr>
        <sz val="9"/>
        <rFont val="メイリオ"/>
        <family val="3"/>
        <charset val="128"/>
      </rPr>
      <t>長期前払費用　</t>
    </r>
    <r>
      <rPr>
        <sz val="9"/>
        <rFont val="Arial"/>
        <family val="2"/>
      </rPr>
      <t>Long-term Prepaid Expenses</t>
    </r>
    <rPh sb="0" eb="2">
      <t>チョウキ</t>
    </rPh>
    <rPh sb="2" eb="6">
      <t>マエバライヒヨウ</t>
    </rPh>
    <phoneticPr fontId="14"/>
  </si>
  <si>
    <t>-</t>
    <phoneticPr fontId="29"/>
  </si>
  <si>
    <t xml:space="preserve">* All kinds of vehicles are listed, including buses and trucks. </t>
    <phoneticPr fontId="29"/>
  </si>
  <si>
    <t>* Company-affiliated is sites operated by a company engaged primarily in the auto auction business.</t>
    <phoneticPr fontId="29"/>
  </si>
  <si>
    <r>
      <t>* JU-affiliated is sites operated by prefectural used car sales associations of JAPAN USED CAR DEALERS ASSOCIATION</t>
    </r>
    <r>
      <rPr>
        <sz val="9"/>
        <rFont val="ＭＳ Ｐゴシック"/>
        <family val="3"/>
        <charset val="128"/>
      </rPr>
      <t>．</t>
    </r>
    <phoneticPr fontId="29"/>
  </si>
  <si>
    <r>
      <t>* Manufacturer/Dealer-affiliated is sites operated by auto manufacturers, their subsidiaries or dealers</t>
    </r>
    <r>
      <rPr>
        <sz val="9"/>
        <rFont val="ＭＳ Ｐゴシック"/>
        <family val="3"/>
        <charset val="128"/>
      </rPr>
      <t>．</t>
    </r>
    <phoneticPr fontId="29"/>
  </si>
  <si>
    <t xml:space="preserve">* The number of company-affiliated vehicles consigned in 2021 has been retroactively adjusted due to a revision of data published by USEDCAR Co., Ltd. </t>
    <phoneticPr fontId="29"/>
  </si>
  <si>
    <t>* As JAA has become a subsidiary, the vehicle consignment data reported by the USS Group from October 2017 onward includes the number of vehicles consigned to the JAA Group.</t>
    <phoneticPr fontId="29"/>
  </si>
  <si>
    <t>* The number of other vehicles consigned and the share in 2021 have been retroactively adjusted due to a revision of data published by USEDCAR Co., Ltd.</t>
    <phoneticPr fontId="29"/>
  </si>
  <si>
    <t>* The figures do not include JBA data.</t>
    <phoneticPr fontId="14"/>
  </si>
  <si>
    <t>* The figures do not include JBA data.</t>
    <phoneticPr fontId="29"/>
  </si>
  <si>
    <t>* Beginning with 2023.3, the recycle business, which was previously included in “other,” is a reportable segment. Figures for “recycling” and “other” have been revised to conform with this change.</t>
    <phoneticPr fontId="29"/>
  </si>
  <si>
    <r>
      <t>* Fees per Vehicle (excl. JBA) for the periods before 2019.3 are retroactively adjusted to conform to the revised definition of Lower-priced vehicles.</t>
    </r>
    <r>
      <rPr>
        <sz val="9"/>
        <rFont val="ＭＳ Ｐゴシック"/>
        <family val="3"/>
        <charset val="128"/>
      </rPr>
      <t>　</t>
    </r>
    <phoneticPr fontId="29"/>
  </si>
  <si>
    <t xml:space="preserve">* The figures in this page include JAA and HAA Kobe from October 2017 onward. </t>
    <phoneticPr fontId="29"/>
  </si>
  <si>
    <t>* Lower-priced vehicles Auction Data for the periods before 2019.3 are retroactively adjusted to conform to the revised definition of Lower-priced vehicles.</t>
    <phoneticPr fontId="29"/>
  </si>
  <si>
    <t>* All CIS and USS JAPAN members are also on-site auction members because on-site membership is a requirement for these other two membership categories.</t>
    <phoneticPr fontId="29"/>
  </si>
  <si>
    <t xml:space="preserve">* Successful Off-site Bids include bids by CIS and USS JAPAN members. </t>
    <phoneticPr fontId="29"/>
  </si>
  <si>
    <t>* The basis of aggregating successful bids received via USS JAPAN for calculating the off-site successful bid ratio is changed in the fiscal year ended March 2016.</t>
    <phoneticPr fontId="29"/>
  </si>
  <si>
    <t>* Following the changes in the auction system, HAA Kobe and JAA are included in the aggregation of successful off-site bids from August 2018 and January 2019, respectively.</t>
    <phoneticPr fontId="29"/>
  </si>
  <si>
    <t xml:space="preserve">* Minority Interests in Income for the period up to the fiscal year ended March 2015 is presented as Profit Attributable to Non-controlling Interests. </t>
    <phoneticPr fontId="29"/>
  </si>
  <si>
    <r>
      <t xml:space="preserve"> </t>
    </r>
    <r>
      <rPr>
        <sz val="8"/>
        <rFont val="メイリオ"/>
        <family val="3"/>
        <charset val="128"/>
      </rPr>
      <t xml:space="preserve">中古自動車等買取販売　計
</t>
    </r>
    <r>
      <rPr>
        <sz val="8"/>
        <rFont val="Arial"/>
        <family val="2"/>
      </rPr>
      <t xml:space="preserve"> Used Vehicle Sales/
 Purchases Business Total</t>
    </r>
    <rPh sb="1" eb="3">
      <t>チュウコ</t>
    </rPh>
    <rPh sb="3" eb="6">
      <t>ジドウシャ</t>
    </rPh>
    <rPh sb="6" eb="7">
      <t>トウ</t>
    </rPh>
    <rPh sb="7" eb="9">
      <t>カイトリ</t>
    </rPh>
    <rPh sb="9" eb="11">
      <t>ハンバイ</t>
    </rPh>
    <rPh sb="12" eb="13">
      <t>ケイ</t>
    </rPh>
    <phoneticPr fontId="17"/>
  </si>
  <si>
    <r>
      <rPr>
        <sz val="7"/>
        <rFont val="メイリオ"/>
        <family val="3"/>
        <charset val="128"/>
      </rPr>
      <t>（単位：台、％、千円　</t>
    </r>
    <r>
      <rPr>
        <sz val="7"/>
        <rFont val="Arial"/>
        <family val="2"/>
      </rPr>
      <t>Unit</t>
    </r>
    <r>
      <rPr>
        <sz val="7"/>
        <rFont val="メイリオ"/>
        <family val="3"/>
        <charset val="128"/>
      </rPr>
      <t>：</t>
    </r>
    <r>
      <rPr>
        <sz val="7"/>
        <rFont val="Arial"/>
        <family val="2"/>
      </rPr>
      <t>No. of Vehicles, %, Thousand Yen</t>
    </r>
    <r>
      <rPr>
        <sz val="7"/>
        <rFont val="メイリオ"/>
        <family val="3"/>
        <charset val="128"/>
      </rPr>
      <t>）</t>
    </r>
    <phoneticPr fontId="29"/>
  </si>
  <si>
    <t>* Average number of shares outstanding during the period includes shares held by the USS Employee Stock Ownership Plan Trust.</t>
    <phoneticPr fontId="29"/>
  </si>
  <si>
    <t>4</t>
    <phoneticPr fontId="29"/>
  </si>
  <si>
    <t>6</t>
    <phoneticPr fontId="29"/>
  </si>
  <si>
    <t>7</t>
    <phoneticPr fontId="29"/>
  </si>
  <si>
    <t>10</t>
    <phoneticPr fontId="29"/>
  </si>
  <si>
    <t>3.4%</t>
    <phoneticPr fontId="29"/>
  </si>
  <si>
    <t>4.3%</t>
    <phoneticPr fontId="29"/>
  </si>
  <si>
    <t>36.9%</t>
    <phoneticPr fontId="29"/>
  </si>
  <si>
    <t>23.2%</t>
    <phoneticPr fontId="29"/>
  </si>
  <si>
    <t>15.9%</t>
    <phoneticPr fontId="29"/>
  </si>
  <si>
    <t>5.9%</t>
    <phoneticPr fontId="29"/>
  </si>
  <si>
    <t>9.9%</t>
    <phoneticPr fontId="29"/>
  </si>
  <si>
    <t>0.5%</t>
    <phoneticPr fontId="29"/>
  </si>
  <si>
    <r>
      <t>JU</t>
    </r>
    <r>
      <rPr>
        <sz val="8"/>
        <rFont val="メイリオ"/>
        <family val="3"/>
        <charset val="128"/>
      </rPr>
      <t>宮城</t>
    </r>
    <r>
      <rPr>
        <sz val="8"/>
        <rFont val="ＭＳ Ｐゴシック"/>
        <family val="3"/>
        <charset val="128"/>
      </rPr>
      <t>　</t>
    </r>
    <r>
      <rPr>
        <sz val="8"/>
        <rFont val="Arial"/>
        <family val="2"/>
      </rPr>
      <t>JU Miyagi</t>
    </r>
    <phoneticPr fontId="29"/>
  </si>
  <si>
    <r>
      <t>TAA</t>
    </r>
    <r>
      <rPr>
        <sz val="8"/>
        <rFont val="メイリオ"/>
        <family val="3"/>
        <charset val="128"/>
      </rPr>
      <t>東北</t>
    </r>
    <r>
      <rPr>
        <sz val="8"/>
        <rFont val="ＭＳ Ｐゴシック"/>
        <family val="3"/>
        <charset val="128"/>
      </rPr>
      <t>　</t>
    </r>
    <r>
      <rPr>
        <sz val="8"/>
        <rFont val="Arial"/>
        <family val="2"/>
      </rPr>
      <t>TAA Tohoku</t>
    </r>
    <phoneticPr fontId="29"/>
  </si>
  <si>
    <t>4</t>
    <phoneticPr fontId="29"/>
  </si>
  <si>
    <t>7</t>
    <phoneticPr fontId="29"/>
  </si>
  <si>
    <t>8</t>
    <phoneticPr fontId="29"/>
  </si>
  <si>
    <r>
      <t>USS</t>
    </r>
    <r>
      <rPr>
        <sz val="10"/>
        <rFont val="ＭＳ ゴシック"/>
        <family val="3"/>
        <charset val="128"/>
      </rPr>
      <t>シェア</t>
    </r>
    <phoneticPr fontId="17"/>
  </si>
  <si>
    <t>＜暦年グラフ作成用＞</t>
    <rPh sb="1" eb="3">
      <t>レキネン</t>
    </rPh>
    <rPh sb="6" eb="8">
      <t>サクセイ</t>
    </rPh>
    <rPh sb="8" eb="9">
      <t>ヨウ</t>
    </rPh>
    <phoneticPr fontId="17"/>
  </si>
  <si>
    <t>＜暦年上半期グラフ作成用＞</t>
    <rPh sb="1" eb="3">
      <t>レキネン</t>
    </rPh>
    <rPh sb="3" eb="6">
      <t>カミハンキ</t>
    </rPh>
    <rPh sb="9" eb="11">
      <t>サクセイ</t>
    </rPh>
    <rPh sb="11" eb="12">
      <t>ヨウ</t>
    </rPh>
    <phoneticPr fontId="17"/>
  </si>
  <si>
    <t>確認印</t>
    <rPh sb="0" eb="2">
      <t>カクニン</t>
    </rPh>
    <rPh sb="2" eb="3">
      <t>イン</t>
    </rPh>
    <phoneticPr fontId="158"/>
  </si>
  <si>
    <t>承認印</t>
    <rPh sb="0" eb="3">
      <t>ショウニンイン</t>
    </rPh>
    <phoneticPr fontId="158"/>
  </si>
  <si>
    <t>担当印</t>
    <rPh sb="0" eb="2">
      <t>タントウ</t>
    </rPh>
    <rPh sb="2" eb="3">
      <t>イン</t>
    </rPh>
    <phoneticPr fontId="158"/>
  </si>
  <si>
    <t>\\ussnas\財務部\10_担当業務\10_台数\ユーストカー\5_AA実績上半期・暦年資料\ユーストカー上半期・暦年実績（works-i用）</t>
  </si>
  <si>
    <t>\\ussnas\財務部\10_担当業務\10_日次\ユーストカー\2_地域別ＡＡ実績(月別)\1_地域別ＡＡ実績</t>
  </si>
  <si>
    <t>5</t>
    <phoneticPr fontId="29"/>
  </si>
  <si>
    <t>JU岐阜　JU Gifu</t>
    <rPh sb="2" eb="4">
      <t>ギフ</t>
    </rPh>
    <phoneticPr fontId="29"/>
  </si>
  <si>
    <r>
      <t>2025</t>
    </r>
    <r>
      <rPr>
        <sz val="7"/>
        <color theme="0"/>
        <rFont val="メイリオ"/>
        <family val="3"/>
        <charset val="128"/>
      </rPr>
      <t>年
順位</t>
    </r>
    <rPh sb="6" eb="8">
      <t>ジュンイ</t>
    </rPh>
    <phoneticPr fontId="17"/>
  </si>
  <si>
    <r>
      <t>2024</t>
    </r>
    <r>
      <rPr>
        <sz val="7"/>
        <color theme="0"/>
        <rFont val="メイリオ"/>
        <family val="3"/>
        <charset val="128"/>
      </rPr>
      <t>年
順位</t>
    </r>
    <rPh sb="6" eb="8">
      <t>ジュンイ</t>
    </rPh>
    <phoneticPr fontId="17"/>
  </si>
  <si>
    <t>2024 Ranking</t>
    <phoneticPr fontId="29"/>
  </si>
  <si>
    <t>8</t>
    <phoneticPr fontId="29"/>
  </si>
  <si>
    <t>9</t>
    <phoneticPr fontId="29"/>
  </si>
  <si>
    <t>2025 
Ranking</t>
    <phoneticPr fontId="29"/>
  </si>
  <si>
    <t>ＨＡＡ神戸</t>
  </si>
  <si>
    <t>2016.3</t>
    <phoneticPr fontId="29"/>
  </si>
  <si>
    <t>2017.3</t>
    <phoneticPr fontId="29"/>
  </si>
  <si>
    <t>2018.3</t>
    <phoneticPr fontId="29"/>
  </si>
  <si>
    <t>2019.3</t>
    <phoneticPr fontId="29"/>
  </si>
  <si>
    <t>2021.3</t>
    <phoneticPr fontId="29"/>
  </si>
  <si>
    <t>2020.3</t>
    <phoneticPr fontId="29"/>
  </si>
  <si>
    <t>2022.3</t>
    <phoneticPr fontId="29"/>
  </si>
  <si>
    <t>2023.3</t>
    <phoneticPr fontId="29"/>
  </si>
  <si>
    <t>2024.3</t>
    <phoneticPr fontId="29"/>
  </si>
  <si>
    <t>2025.3</t>
    <phoneticPr fontId="29"/>
  </si>
  <si>
    <t>2026.3</t>
    <phoneticPr fontId="29"/>
  </si>
  <si>
    <t>2016.3</t>
    <phoneticPr fontId="17"/>
  </si>
  <si>
    <t>2017.3</t>
    <phoneticPr fontId="17"/>
  </si>
  <si>
    <t>2018.3</t>
    <phoneticPr fontId="17"/>
  </si>
  <si>
    <t>2019.3</t>
    <phoneticPr fontId="17"/>
  </si>
  <si>
    <t>2020.3</t>
    <phoneticPr fontId="17"/>
  </si>
  <si>
    <t>2021.3</t>
    <phoneticPr fontId="17"/>
  </si>
  <si>
    <t>2022.3</t>
    <phoneticPr fontId="17"/>
  </si>
  <si>
    <t>2023.3</t>
    <phoneticPr fontId="17"/>
  </si>
  <si>
    <t>2024.3</t>
    <phoneticPr fontId="17"/>
  </si>
  <si>
    <t>2025.3</t>
    <phoneticPr fontId="17"/>
  </si>
  <si>
    <t>2026.3</t>
    <phoneticPr fontId="17"/>
  </si>
  <si>
    <t>2016.3</t>
    <phoneticPr fontId="17"/>
  </si>
  <si>
    <t>2017.3</t>
    <phoneticPr fontId="17"/>
  </si>
  <si>
    <t>2018.3</t>
    <phoneticPr fontId="17"/>
  </si>
  <si>
    <t>2020.3</t>
    <phoneticPr fontId="17"/>
  </si>
  <si>
    <t>2019.3</t>
    <phoneticPr fontId="17"/>
  </si>
  <si>
    <t>2021.3</t>
    <phoneticPr fontId="17"/>
  </si>
  <si>
    <t>2022.3</t>
    <phoneticPr fontId="17"/>
  </si>
  <si>
    <t>2023.3</t>
    <phoneticPr fontId="17"/>
  </si>
  <si>
    <t>2024.3</t>
    <phoneticPr fontId="17"/>
  </si>
  <si>
    <t>2025.3</t>
    <phoneticPr fontId="17"/>
  </si>
  <si>
    <t>2017.3</t>
    <phoneticPr fontId="17"/>
  </si>
  <si>
    <t>2022.3</t>
    <phoneticPr fontId="17"/>
  </si>
  <si>
    <t>2024.3</t>
    <phoneticPr fontId="17"/>
  </si>
  <si>
    <t>2025.3</t>
    <phoneticPr fontId="17"/>
  </si>
  <si>
    <t>2025.3</t>
  </si>
  <si>
    <t>2026.3</t>
  </si>
  <si>
    <t>2026.3</t>
    <phoneticPr fontId="17"/>
  </si>
  <si>
    <t>\\ussnas\財務部\20_担当会場\01_z連結\連結yymm期\連結yymm\4月-3月決算\確定フォルダ（チェック済）</t>
    <phoneticPr fontId="29"/>
  </si>
  <si>
    <t>\\ussnas\財務部\10_担当業務\10_台数\AA実績\26.3期(2025年4月～2026年3月)\30_AA実績四半期資料\F2100US_実績表</t>
  </si>
  <si>
    <t>2026.3</t>
    <phoneticPr fontId="14"/>
  </si>
  <si>
    <t>\\ussnas\財務部\50_開示・IR資料関連\00_開示資料\外部落札</t>
    <phoneticPr fontId="14"/>
  </si>
  <si>
    <t>\\ussnas\財務部\50_開示・IR資料関連\00_開示資料\会員数</t>
    <phoneticPr fontId="14"/>
  </si>
  <si>
    <t>\\ussnas\財務部\50_開示・IR資料関連\00_開示資料\鉄相場</t>
    <phoneticPr fontId="29"/>
  </si>
  <si>
    <t>\\ussnas\財務部\50_開示・IR資料関連\00_開示資料\セグメント</t>
    <phoneticPr fontId="29"/>
  </si>
  <si>
    <t>\\ussnas\財務部\40_予算\yymm\①当初予算\②対外予算\③予算開示資料</t>
    <phoneticPr fontId="29"/>
  </si>
  <si>
    <t>2027.3</t>
    <phoneticPr fontId="29"/>
  </si>
  <si>
    <t>Ⅲ－２－（４）　2027年3月期の計画（連結）　Forecast for the Fiscal Year Ending March 2026 (Consolidated)</t>
    <rPh sb="12" eb="13">
      <t>ネン</t>
    </rPh>
    <rPh sb="14" eb="15">
      <t>ガツ</t>
    </rPh>
    <rPh sb="15" eb="16">
      <t>キ</t>
    </rPh>
    <rPh sb="17" eb="19">
      <t>ケイカク</t>
    </rPh>
    <rPh sb="20" eb="22">
      <t>レンケツ</t>
    </rPh>
    <phoneticPr fontId="23"/>
  </si>
  <si>
    <t>【2603退避】</t>
    <rPh sb="5" eb="7">
      <t>タイヒ</t>
    </rPh>
    <phoneticPr fontId="29"/>
  </si>
  <si>
    <t>I. 主要データ(年度)</t>
    <rPh sb="3" eb="5">
      <t>シュヨウ</t>
    </rPh>
    <rPh sb="9" eb="11">
      <t>ネンド</t>
    </rPh>
    <phoneticPr fontId="29"/>
  </si>
  <si>
    <t>2015年のデータが表示されなくなったため削除</t>
    <rPh sb="4" eb="5">
      <t>ネン</t>
    </rPh>
    <rPh sb="10" eb="12">
      <t>ヒョウジ</t>
    </rPh>
    <rPh sb="21" eb="23">
      <t>サクジョ</t>
    </rPh>
    <phoneticPr fontId="29"/>
  </si>
  <si>
    <t>【2603退避】　2015年のデータが表示されなくなったため削除</t>
    <rPh sb="5" eb="7">
      <t>タイヒ</t>
    </rPh>
    <rPh sb="13" eb="14">
      <t>ネン</t>
    </rPh>
    <rPh sb="19" eb="21">
      <t>ヒョウジ</t>
    </rPh>
    <rPh sb="30" eb="32">
      <t>サクジョ</t>
    </rPh>
    <phoneticPr fontId="29"/>
  </si>
  <si>
    <t>2026.3</t>
    <phoneticPr fontId="14"/>
  </si>
  <si>
    <t>2026.3</t>
    <phoneticPr fontId="17"/>
  </si>
  <si>
    <t>※提出時グループ化は閉じない(グラフ表示が崩れるため)</t>
    <rPh sb="1" eb="4">
      <t>テイシュツジ</t>
    </rPh>
    <rPh sb="8" eb="9">
      <t>カ</t>
    </rPh>
    <rPh sb="10" eb="11">
      <t>ト</t>
    </rPh>
    <rPh sb="18" eb="20">
      <t>ヒョウジ</t>
    </rPh>
    <rPh sb="21" eb="22">
      <t>クズ</t>
    </rPh>
    <phoneticPr fontId="18"/>
  </si>
  <si>
    <t>■2023.3期DATABOOK作成時、機械装置、長期前払費用、預り金、その他有価証券評価差額金、土地再評価差額金、退職給付に係る調整累計額を非表示化し、その他に集約</t>
    <rPh sb="7" eb="8">
      <t>キ</t>
    </rPh>
    <rPh sb="16" eb="19">
      <t>サクセイジ</t>
    </rPh>
    <rPh sb="20" eb="24">
      <t>キカイソウチ</t>
    </rPh>
    <rPh sb="25" eb="31">
      <t>チョウキマエバライヒヨウ</t>
    </rPh>
    <rPh sb="32" eb="33">
      <t>アズカ</t>
    </rPh>
    <rPh sb="34" eb="35">
      <t>キン</t>
    </rPh>
    <rPh sb="71" eb="74">
      <t>ヒヒョウジ</t>
    </rPh>
    <rPh sb="74" eb="75">
      <t>カ</t>
    </rPh>
    <rPh sb="79" eb="80">
      <t>タ</t>
    </rPh>
    <rPh sb="81" eb="83">
      <t>シュウヤク</t>
    </rPh>
    <phoneticPr fontId="17"/>
  </si>
  <si>
    <t>前年度</t>
    <rPh sb="0" eb="3">
      <t>ゼンネンド</t>
    </rPh>
    <phoneticPr fontId="17"/>
  </si>
  <si>
    <t>当年度</t>
    <rPh sb="0" eb="3">
      <t>トウネンド</t>
    </rPh>
    <phoneticPr fontId="17"/>
  </si>
  <si>
    <t>受取手形、売掛金及び契約資産</t>
    <rPh sb="0" eb="2">
      <t>ウケトリ</t>
    </rPh>
    <rPh sb="2" eb="4">
      <t>テガタ</t>
    </rPh>
    <rPh sb="5" eb="8">
      <t>ウリカケキン</t>
    </rPh>
    <rPh sb="8" eb="9">
      <t>オヨ</t>
    </rPh>
    <rPh sb="10" eb="14">
      <t>ケイヤクシサン</t>
    </rPh>
    <phoneticPr fontId="17"/>
  </si>
  <si>
    <r>
      <rPr>
        <sz val="10"/>
        <rFont val="メイリオ"/>
        <family val="3"/>
        <charset val="128"/>
      </rPr>
      <t>※参照資料：</t>
    </r>
    <r>
      <rPr>
        <sz val="10"/>
        <rFont val="Arial"/>
        <family val="2"/>
      </rPr>
      <t>D2100AL_</t>
    </r>
    <r>
      <rPr>
        <sz val="10"/>
        <rFont val="メイリオ"/>
        <family val="3"/>
        <charset val="128"/>
      </rPr>
      <t>●●</t>
    </r>
    <r>
      <rPr>
        <sz val="10"/>
        <rFont val="Arial"/>
        <family val="2"/>
      </rPr>
      <t>03</t>
    </r>
    <r>
      <rPr>
        <sz val="10"/>
        <rFont val="メイリオ"/>
        <family val="3"/>
        <charset val="128"/>
      </rPr>
      <t>セグメント</t>
    </r>
    <r>
      <rPr>
        <sz val="10"/>
        <rFont val="Arial"/>
        <family val="2"/>
      </rPr>
      <t>Ver1.0.3.xls</t>
    </r>
    <phoneticPr fontId="29"/>
  </si>
  <si>
    <r>
      <t>比較年は2</t>
    </r>
    <r>
      <rPr>
        <sz val="10"/>
        <rFont val="ＭＳ ゴシック"/>
        <family val="3"/>
        <charset val="128"/>
      </rPr>
      <t>020年3月～</t>
    </r>
    <rPh sb="0" eb="3">
      <t>ヒカクネン</t>
    </rPh>
    <rPh sb="8" eb="9">
      <t>ネン</t>
    </rPh>
    <rPh sb="10" eb="11">
      <t>ガツ</t>
    </rPh>
    <phoneticPr fontId="29"/>
  </si>
  <si>
    <t>赤字の部分を5,6,7..と更新</t>
    <rPh sb="0" eb="2">
      <t>アカジ</t>
    </rPh>
    <rPh sb="3" eb="5">
      <t>ブブン</t>
    </rPh>
    <rPh sb="14" eb="16">
      <t>コウシン</t>
    </rPh>
    <phoneticPr fontId="29"/>
  </si>
  <si>
    <r>
      <t>=IF(ISERROR(((AD9/</t>
    </r>
    <r>
      <rPr>
        <sz val="10"/>
        <color rgb="FFFF0000"/>
        <rFont val="Arial"/>
        <family val="2"/>
      </rPr>
      <t>AA9</t>
    </r>
    <r>
      <rPr>
        <sz val="10"/>
        <rFont val="Arial"/>
        <family val="2"/>
      </rPr>
      <t>)^(1/</t>
    </r>
    <r>
      <rPr>
        <sz val="10"/>
        <color rgb="FFFF0000"/>
        <rFont val="Arial"/>
        <family val="2"/>
      </rPr>
      <t>3</t>
    </r>
    <r>
      <rPr>
        <sz val="10"/>
        <rFont val="Arial"/>
        <family val="2"/>
      </rPr>
      <t>)-1)*100),"-",((AD9/</t>
    </r>
    <r>
      <rPr>
        <sz val="10"/>
        <color rgb="FFFF0000"/>
        <rFont val="Arial"/>
        <family val="2"/>
      </rPr>
      <t>AA9</t>
    </r>
    <r>
      <rPr>
        <sz val="10"/>
        <rFont val="Arial"/>
        <family val="2"/>
      </rPr>
      <t>)^(1/</t>
    </r>
    <r>
      <rPr>
        <sz val="10"/>
        <color rgb="FFFF0000"/>
        <rFont val="Arial"/>
        <family val="2"/>
      </rPr>
      <t>3</t>
    </r>
    <r>
      <rPr>
        <sz val="10"/>
        <rFont val="Arial"/>
        <family val="2"/>
      </rPr>
      <t>)-1)*100)</t>
    </r>
    <r>
      <rPr>
        <sz val="10"/>
        <rFont val="ＭＳ ゴシック"/>
        <family val="3"/>
        <charset val="128"/>
      </rPr>
      <t>　赤いところを</t>
    </r>
    <r>
      <rPr>
        <sz val="10"/>
        <rFont val="Arial"/>
        <family val="2"/>
      </rPr>
      <t>4.5.6</t>
    </r>
    <r>
      <rPr>
        <sz val="10"/>
        <rFont val="ＭＳ ゴシック"/>
        <family val="3"/>
        <charset val="128"/>
      </rPr>
      <t>・・・変更していく</t>
    </r>
    <rPh sb="66" eb="67">
      <t>アカ</t>
    </rPh>
    <rPh sb="80" eb="82">
      <t>ヘンコウ</t>
    </rPh>
    <phoneticPr fontId="17"/>
  </si>
  <si>
    <r>
      <rPr>
        <sz val="10"/>
        <rFont val="ＭＳ Ｐゴシック"/>
        <family val="3"/>
        <charset val="128"/>
      </rPr>
      <t>赤い部分を</t>
    </r>
    <r>
      <rPr>
        <sz val="10"/>
        <rFont val="Arial"/>
        <family val="2"/>
      </rPr>
      <t>2017.3</t>
    </r>
    <r>
      <rPr>
        <sz val="10"/>
        <rFont val="ＭＳ Ｐゴシック"/>
        <family val="3"/>
        <charset val="128"/>
      </rPr>
      <t>に合わせる</t>
    </r>
    <rPh sb="0" eb="1">
      <t>アカ</t>
    </rPh>
    <rPh sb="2" eb="4">
      <t>ブブン</t>
    </rPh>
    <rPh sb="12" eb="13">
      <t>ア</t>
    </rPh>
    <phoneticPr fontId="17"/>
  </si>
  <si>
    <r>
      <rPr>
        <sz val="10"/>
        <rFont val="ＭＳ ゴシック"/>
        <family val="3"/>
        <charset val="128"/>
      </rPr>
      <t>=IF(ISERROR(((AG10/</t>
    </r>
    <r>
      <rPr>
        <sz val="10"/>
        <color rgb="FFFF0000"/>
        <rFont val="ＭＳ ゴシック"/>
        <family val="3"/>
        <charset val="128"/>
      </rPr>
      <t>AB10</t>
    </r>
    <r>
      <rPr>
        <sz val="10"/>
        <rFont val="ＭＳ ゴシック"/>
        <family val="3"/>
        <charset val="128"/>
      </rPr>
      <t>)^(1/</t>
    </r>
    <r>
      <rPr>
        <sz val="10"/>
        <color rgb="FFFF0000"/>
        <rFont val="ＭＳ ゴシック"/>
        <family val="3"/>
        <charset val="128"/>
      </rPr>
      <t>5</t>
    </r>
    <r>
      <rPr>
        <sz val="10"/>
        <rFont val="ＭＳ ゴシック"/>
        <family val="3"/>
        <charset val="128"/>
      </rPr>
      <t>)-1)*100),"-",((AG10/</t>
    </r>
    <r>
      <rPr>
        <sz val="10"/>
        <color rgb="FFFF0000"/>
        <rFont val="ＭＳ ゴシック"/>
        <family val="3"/>
        <charset val="128"/>
      </rPr>
      <t>AB10</t>
    </r>
    <r>
      <rPr>
        <sz val="10"/>
        <rFont val="ＭＳ ゴシック"/>
        <family val="3"/>
        <charset val="128"/>
      </rPr>
      <t>)^(1/</t>
    </r>
    <r>
      <rPr>
        <sz val="10"/>
        <color rgb="FFFF0000"/>
        <rFont val="ＭＳ ゴシック"/>
        <family val="3"/>
        <charset val="128"/>
      </rPr>
      <t>5</t>
    </r>
    <r>
      <rPr>
        <sz val="10"/>
        <rFont val="ＭＳ ゴシック"/>
        <family val="3"/>
        <charset val="128"/>
      </rPr>
      <t>)-1)*100)</t>
    </r>
    <phoneticPr fontId="29"/>
  </si>
  <si>
    <r>
      <rPr>
        <sz val="10"/>
        <rFont val="ＭＳ ゴシック"/>
        <family val="3"/>
        <charset val="128"/>
      </rPr>
      <t>=IF(OR(AND</t>
    </r>
    <r>
      <rPr>
        <sz val="10"/>
        <rFont val="ＭＳ ゴシック"/>
        <family val="3"/>
        <charset val="128"/>
      </rPr>
      <t>(</t>
    </r>
    <r>
      <rPr>
        <sz val="10"/>
        <color rgb="FFFF0000"/>
        <rFont val="ＭＳ ゴシック"/>
        <family val="3"/>
        <charset val="128"/>
      </rPr>
      <t>AB11</t>
    </r>
    <r>
      <rPr>
        <sz val="10"/>
        <rFont val="ＭＳ ゴシック"/>
        <family val="3"/>
        <charset val="128"/>
      </rPr>
      <t>&gt;0,AG11&lt;0),AND(</t>
    </r>
    <r>
      <rPr>
        <sz val="10"/>
        <color rgb="FFFF0000"/>
        <rFont val="ＭＳ ゴシック"/>
        <family val="3"/>
        <charset val="128"/>
      </rPr>
      <t>AB11</t>
    </r>
    <r>
      <rPr>
        <sz val="10"/>
        <rFont val="ＭＳ ゴシック"/>
        <family val="3"/>
        <charset val="128"/>
      </rPr>
      <t>&lt;0,AG11&gt;0),AND(</t>
    </r>
    <r>
      <rPr>
        <sz val="10"/>
        <color rgb="FFFF0000"/>
        <rFont val="ＭＳ ゴシック"/>
        <family val="3"/>
        <charset val="128"/>
      </rPr>
      <t>AB11</t>
    </r>
    <r>
      <rPr>
        <sz val="10"/>
        <rFont val="ＭＳ ゴシック"/>
        <family val="3"/>
        <charset val="128"/>
      </rPr>
      <t>&lt;0,AG11&lt;0)),"-",IF(ISERROR(((AG11/</t>
    </r>
    <r>
      <rPr>
        <sz val="10"/>
        <color rgb="FFFF0000"/>
        <rFont val="ＭＳ ゴシック"/>
        <family val="3"/>
        <charset val="128"/>
      </rPr>
      <t>AB11</t>
    </r>
    <r>
      <rPr>
        <sz val="10"/>
        <rFont val="ＭＳ ゴシック"/>
        <family val="3"/>
        <charset val="128"/>
      </rPr>
      <t>)^(1/</t>
    </r>
    <r>
      <rPr>
        <sz val="10"/>
        <color rgb="FFFF0000"/>
        <rFont val="ＭＳ ゴシック"/>
        <family val="3"/>
        <charset val="128"/>
      </rPr>
      <t>5</t>
    </r>
    <r>
      <rPr>
        <sz val="10"/>
        <rFont val="ＭＳ ゴシック"/>
        <family val="3"/>
        <charset val="128"/>
      </rPr>
      <t>)-1)*100),"-",((AG11/</t>
    </r>
    <r>
      <rPr>
        <sz val="10"/>
        <color rgb="FFFF0000"/>
        <rFont val="ＭＳ ゴシック"/>
        <family val="3"/>
        <charset val="128"/>
      </rPr>
      <t>AB11</t>
    </r>
    <r>
      <rPr>
        <sz val="10"/>
        <rFont val="ＭＳ ゴシック"/>
        <family val="3"/>
        <charset val="128"/>
      </rPr>
      <t>)^(1/</t>
    </r>
    <r>
      <rPr>
        <sz val="10"/>
        <color rgb="FFFF0000"/>
        <rFont val="ＭＳ ゴシック"/>
        <family val="3"/>
        <charset val="128"/>
      </rPr>
      <t>5</t>
    </r>
    <r>
      <rPr>
        <sz val="10"/>
        <rFont val="ＭＳ ゴシック"/>
        <family val="3"/>
        <charset val="128"/>
      </rPr>
      <t>)-1)*100))</t>
    </r>
    <phoneticPr fontId="29"/>
  </si>
  <si>
    <t>赤字の箇所を2020.03に合わせる</t>
    <rPh sb="0" eb="2">
      <t>アカジ</t>
    </rPh>
    <rPh sb="3" eb="5">
      <t>カショ</t>
    </rPh>
    <rPh sb="14" eb="15">
      <t>ア</t>
    </rPh>
    <phoneticPr fontId="29"/>
  </si>
  <si>
    <t>退職給付引当金に係る負債の増加額</t>
    <rPh sb="8" eb="9">
      <t>カカ</t>
    </rPh>
    <rPh sb="10" eb="12">
      <t>フサイ</t>
    </rPh>
    <rPh sb="13" eb="15">
      <t>ゾウカ</t>
    </rPh>
    <phoneticPr fontId="14"/>
  </si>
  <si>
    <t>退職給付に係る資産の増減額</t>
    <rPh sb="0" eb="2">
      <t>タイショク</t>
    </rPh>
    <rPh sb="2" eb="4">
      <t>キュウフ</t>
    </rPh>
    <rPh sb="5" eb="6">
      <t>カカ</t>
    </rPh>
    <rPh sb="7" eb="9">
      <t>シサン</t>
    </rPh>
    <rPh sb="10" eb="12">
      <t>ゾウゲン</t>
    </rPh>
    <rPh sb="12" eb="13">
      <t>ガク</t>
    </rPh>
    <phoneticPr fontId="14"/>
  </si>
  <si>
    <t>株式報酬引当金の増加額</t>
    <rPh sb="0" eb="7">
      <t>カブシキホウシュウヒキアテキン</t>
    </rPh>
    <rPh sb="8" eb="10">
      <t>ゾウカ</t>
    </rPh>
    <rPh sb="10" eb="11">
      <t>ガク</t>
    </rPh>
    <phoneticPr fontId="14"/>
  </si>
  <si>
    <t>受取手形の減少額</t>
    <rPh sb="5" eb="8">
      <t>ゲンショウガク</t>
    </rPh>
    <phoneticPr fontId="14"/>
  </si>
  <si>
    <t>オークション勘定の増減額</t>
    <rPh sb="9" eb="11">
      <t>ゾウゲン</t>
    </rPh>
    <phoneticPr fontId="14"/>
  </si>
  <si>
    <t>棚卸資産の増加額</t>
    <rPh sb="5" eb="7">
      <t>ゾウカ</t>
    </rPh>
    <phoneticPr fontId="14"/>
  </si>
  <si>
    <t>支払手形及び買掛金の増加額</t>
    <rPh sb="0" eb="2">
      <t>シハライ</t>
    </rPh>
    <rPh sb="2" eb="4">
      <t>テガタ</t>
    </rPh>
    <rPh sb="4" eb="5">
      <t>オヨ</t>
    </rPh>
    <rPh sb="6" eb="9">
      <t>カイカケキン</t>
    </rPh>
    <rPh sb="10" eb="12">
      <t>ゾウカ</t>
    </rPh>
    <rPh sb="12" eb="13">
      <t>ガク</t>
    </rPh>
    <phoneticPr fontId="9"/>
  </si>
  <si>
    <t>未払消費税等の減少額</t>
    <rPh sb="7" eb="10">
      <t>ゲンショウガク</t>
    </rPh>
    <phoneticPr fontId="14"/>
  </si>
  <si>
    <t>返金負債の増加額</t>
    <rPh sb="0" eb="4">
      <t>ヘンキンフサイ</t>
    </rPh>
    <rPh sb="5" eb="8">
      <t>ゾウカガク</t>
    </rPh>
    <phoneticPr fontId="14"/>
  </si>
  <si>
    <t>-</t>
    <phoneticPr fontId="14"/>
  </si>
  <si>
    <t>2603追加</t>
    <rPh sb="4" eb="6">
      <t>ツイカ</t>
    </rPh>
    <phoneticPr fontId="14"/>
  </si>
  <si>
    <t>定期預金純増減額</t>
    <rPh sb="5" eb="8">
      <t>ゾウゲンガク</t>
    </rPh>
    <phoneticPr fontId="14"/>
  </si>
  <si>
    <t>５．現金および現金同等物の減少額</t>
    <rPh sb="13" eb="16">
      <t>ゲンショウガク</t>
    </rPh>
    <phoneticPr fontId="14"/>
  </si>
  <si>
    <t>※目次も年号(日本語・英語)を変更すること</t>
    <rPh sb="1" eb="3">
      <t>モクジ</t>
    </rPh>
    <rPh sb="4" eb="6">
      <t>ネンゴウ</t>
    </rPh>
    <rPh sb="7" eb="10">
      <t>ニホンゴ</t>
    </rPh>
    <rPh sb="11" eb="13">
      <t>エイゴ</t>
    </rPh>
    <rPh sb="15" eb="17">
      <t>ヘンコウ</t>
    </rPh>
    <phoneticPr fontId="29"/>
  </si>
  <si>
    <r>
      <t>（単位：百万円、千株、社、人、％　</t>
    </r>
    <r>
      <rPr>
        <sz val="7"/>
        <rFont val="Arial"/>
        <family val="2"/>
      </rPr>
      <t>Unit</t>
    </r>
    <r>
      <rPr>
        <sz val="7"/>
        <rFont val="メイリオ"/>
        <family val="3"/>
        <charset val="128"/>
      </rPr>
      <t>：</t>
    </r>
    <r>
      <rPr>
        <sz val="7"/>
        <rFont val="Arial"/>
        <family val="2"/>
      </rPr>
      <t xml:space="preserve"> Million Yen, Thousand Shares, No. of Companies, People, %</t>
    </r>
    <r>
      <rPr>
        <sz val="7"/>
        <rFont val="メイリオ"/>
        <family val="3"/>
        <charset val="128"/>
      </rPr>
      <t>）</t>
    </r>
    <rPh sb="8" eb="9">
      <t>セン</t>
    </rPh>
    <rPh sb="9" eb="10">
      <t>カブ</t>
    </rPh>
    <rPh sb="11" eb="12">
      <t>シャ</t>
    </rPh>
    <rPh sb="13" eb="14">
      <t>ニン</t>
    </rPh>
    <phoneticPr fontId="18"/>
  </si>
  <si>
    <r>
      <rPr>
        <sz val="7"/>
        <rFont val="メイリオ"/>
        <family val="3"/>
        <charset val="128"/>
      </rPr>
      <t>（単位：回、台、％</t>
    </r>
    <r>
      <rPr>
        <sz val="7"/>
        <rFont val="Arial"/>
        <family val="2"/>
      </rPr>
      <t xml:space="preserve"> </t>
    </r>
    <r>
      <rPr>
        <sz val="7"/>
        <rFont val="Yu Gothic"/>
        <family val="2"/>
        <charset val="128"/>
      </rPr>
      <t>　</t>
    </r>
    <r>
      <rPr>
        <sz val="7"/>
        <rFont val="Arial"/>
        <family val="2"/>
      </rPr>
      <t xml:space="preserve"> Unit</t>
    </r>
    <r>
      <rPr>
        <sz val="7"/>
        <rFont val="Yu Gothic"/>
        <family val="2"/>
        <charset val="128"/>
      </rPr>
      <t>：</t>
    </r>
    <r>
      <rPr>
        <sz val="7"/>
        <rFont val="Arial"/>
        <family val="2"/>
      </rPr>
      <t xml:space="preserve"> No. of Auctions, No. of Vehicles, %</t>
    </r>
    <r>
      <rPr>
        <sz val="7"/>
        <rFont val="メイリオ"/>
        <family val="3"/>
        <charset val="128"/>
      </rPr>
      <t>）</t>
    </r>
    <phoneticPr fontId="14"/>
  </si>
  <si>
    <r>
      <rPr>
        <sz val="8"/>
        <rFont val="メイリオ"/>
        <family val="3"/>
        <charset val="128"/>
      </rPr>
      <t>（単位：台、％　</t>
    </r>
    <r>
      <rPr>
        <sz val="8"/>
        <rFont val="Arial"/>
        <family val="2"/>
      </rPr>
      <t>Unit</t>
    </r>
    <r>
      <rPr>
        <sz val="8"/>
        <rFont val="メイリオ"/>
        <family val="3"/>
        <charset val="128"/>
      </rPr>
      <t>：</t>
    </r>
    <r>
      <rPr>
        <sz val="8"/>
        <rFont val="Arial"/>
        <family val="2"/>
      </rPr>
      <t xml:space="preserve"> No. of Vehicles, %</t>
    </r>
    <r>
      <rPr>
        <sz val="8"/>
        <rFont val="メイリオ"/>
        <family val="3"/>
        <charset val="128"/>
      </rPr>
      <t>）</t>
    </r>
    <rPh sb="1" eb="3">
      <t>タンイ</t>
    </rPh>
    <rPh sb="4" eb="5">
      <t>ダイ</t>
    </rPh>
    <phoneticPr fontId="17"/>
  </si>
  <si>
    <r>
      <rPr>
        <sz val="7"/>
        <rFont val="メイリオ"/>
        <family val="3"/>
        <charset val="128"/>
      </rPr>
      <t>（単位：社、％　</t>
    </r>
    <r>
      <rPr>
        <sz val="7"/>
        <rFont val="Arial"/>
        <family val="2"/>
      </rPr>
      <t>Unit</t>
    </r>
    <r>
      <rPr>
        <sz val="7"/>
        <rFont val="メイリオ"/>
        <family val="3"/>
        <charset val="128"/>
      </rPr>
      <t>：</t>
    </r>
    <r>
      <rPr>
        <sz val="7"/>
        <rFont val="Arial"/>
        <family val="2"/>
      </rPr>
      <t xml:space="preserve"> No. of Companies, %</t>
    </r>
    <r>
      <rPr>
        <sz val="7"/>
        <rFont val="メイリオ"/>
        <family val="3"/>
        <charset val="128"/>
      </rPr>
      <t>）</t>
    </r>
    <rPh sb="1" eb="3">
      <t>タンイ</t>
    </rPh>
    <rPh sb="4" eb="5">
      <t>シャ</t>
    </rPh>
    <phoneticPr fontId="17"/>
  </si>
  <si>
    <r>
      <rPr>
        <sz val="7"/>
        <rFont val="メイリオ"/>
        <family val="3"/>
        <charset val="128"/>
      </rPr>
      <t>（単位：台、％　</t>
    </r>
    <r>
      <rPr>
        <sz val="7"/>
        <rFont val="Arial"/>
        <family val="2"/>
      </rPr>
      <t>Unit</t>
    </r>
    <r>
      <rPr>
        <sz val="7"/>
        <rFont val="メイリオ"/>
        <family val="3"/>
        <charset val="128"/>
      </rPr>
      <t>：</t>
    </r>
    <r>
      <rPr>
        <sz val="7"/>
        <rFont val="Arial"/>
        <family val="2"/>
      </rPr>
      <t xml:space="preserve"> No. of Vehicles, %</t>
    </r>
    <r>
      <rPr>
        <sz val="7"/>
        <rFont val="メイリオ"/>
        <family val="3"/>
        <charset val="128"/>
      </rPr>
      <t>）</t>
    </r>
    <rPh sb="1" eb="3">
      <t>タンイ</t>
    </rPh>
    <rPh sb="4" eb="5">
      <t>ダイ</t>
    </rPh>
    <phoneticPr fontId="17"/>
  </si>
  <si>
    <r>
      <rPr>
        <sz val="7"/>
        <rFont val="メイリオ"/>
        <family val="3"/>
        <charset val="128"/>
      </rPr>
      <t>（単位：百万円、％</t>
    </r>
    <r>
      <rPr>
        <sz val="7"/>
        <rFont val="Arial"/>
        <family val="2"/>
      </rPr>
      <t xml:space="preserve"> </t>
    </r>
    <r>
      <rPr>
        <sz val="7"/>
        <rFont val="メイリオ"/>
        <family val="3"/>
        <charset val="128"/>
      </rPr>
      <t>　</t>
    </r>
    <r>
      <rPr>
        <sz val="7"/>
        <rFont val="Arial"/>
        <family val="2"/>
      </rPr>
      <t xml:space="preserve"> Unit</t>
    </r>
    <r>
      <rPr>
        <sz val="7"/>
        <rFont val="メイリオ"/>
        <family val="3"/>
        <charset val="128"/>
      </rPr>
      <t>：</t>
    </r>
    <r>
      <rPr>
        <sz val="7"/>
        <rFont val="Arial"/>
        <family val="2"/>
      </rPr>
      <t xml:space="preserve"> Million Yen, %</t>
    </r>
    <r>
      <rPr>
        <sz val="7"/>
        <rFont val="メイリオ"/>
        <family val="3"/>
        <charset val="128"/>
      </rPr>
      <t>）</t>
    </r>
    <phoneticPr fontId="17"/>
  </si>
  <si>
    <r>
      <rPr>
        <sz val="7"/>
        <rFont val="メイリオ"/>
        <family val="3"/>
        <charset val="128"/>
      </rPr>
      <t>（単位：店、％</t>
    </r>
    <r>
      <rPr>
        <sz val="7"/>
        <rFont val="Arial"/>
        <family val="2"/>
      </rPr>
      <t xml:space="preserve"> </t>
    </r>
    <r>
      <rPr>
        <sz val="7"/>
        <rFont val="メイリオ"/>
        <family val="3"/>
        <charset val="128"/>
      </rPr>
      <t>　</t>
    </r>
    <r>
      <rPr>
        <sz val="7"/>
        <rFont val="Arial"/>
        <family val="2"/>
      </rPr>
      <t xml:space="preserve"> Unit</t>
    </r>
    <r>
      <rPr>
        <sz val="7"/>
        <rFont val="メイリオ"/>
        <family val="3"/>
        <charset val="128"/>
      </rPr>
      <t>：</t>
    </r>
    <r>
      <rPr>
        <sz val="7"/>
        <rFont val="Arial"/>
        <family val="2"/>
      </rPr>
      <t xml:space="preserve"> No. of Shops, %)</t>
    </r>
    <rPh sb="1" eb="3">
      <t>タンイ</t>
    </rPh>
    <rPh sb="4" eb="5">
      <t>ミセ</t>
    </rPh>
    <phoneticPr fontId="17"/>
  </si>
  <si>
    <r>
      <rPr>
        <sz val="7"/>
        <rFont val="メイリオ"/>
        <family val="3"/>
        <charset val="128"/>
      </rPr>
      <t>（単位：百万円、％</t>
    </r>
    <r>
      <rPr>
        <sz val="7"/>
        <rFont val="Arial"/>
        <family val="2"/>
      </rPr>
      <t xml:space="preserve"> </t>
    </r>
    <r>
      <rPr>
        <sz val="7"/>
        <rFont val="メイリオ"/>
        <family val="3"/>
        <charset val="128"/>
      </rPr>
      <t>　</t>
    </r>
    <r>
      <rPr>
        <sz val="7"/>
        <rFont val="Arial"/>
        <family val="2"/>
      </rPr>
      <t xml:space="preserve"> Unit</t>
    </r>
    <r>
      <rPr>
        <sz val="7"/>
        <rFont val="メイリオ"/>
        <family val="3"/>
        <charset val="128"/>
      </rPr>
      <t>：</t>
    </r>
    <r>
      <rPr>
        <sz val="7"/>
        <rFont val="Arial"/>
        <family val="2"/>
      </rPr>
      <t xml:space="preserve"> Million Yen, %</t>
    </r>
    <r>
      <rPr>
        <sz val="7"/>
        <rFont val="メイリオ"/>
        <family val="3"/>
        <charset val="128"/>
      </rPr>
      <t>）</t>
    </r>
    <phoneticPr fontId="17"/>
  </si>
  <si>
    <r>
      <rPr>
        <sz val="7"/>
        <rFont val="メイリオ"/>
        <family val="3"/>
        <charset val="128"/>
      </rPr>
      <t>（単位：円</t>
    </r>
    <r>
      <rPr>
        <sz val="7"/>
        <rFont val="Arial"/>
        <family val="2"/>
      </rPr>
      <t>/Mt</t>
    </r>
    <r>
      <rPr>
        <sz val="7"/>
        <rFont val="メイリオ"/>
        <family val="3"/>
        <charset val="128"/>
      </rPr>
      <t>、％</t>
    </r>
    <r>
      <rPr>
        <sz val="7"/>
        <rFont val="Arial"/>
        <family val="2"/>
      </rPr>
      <t xml:space="preserve"> </t>
    </r>
    <r>
      <rPr>
        <sz val="7"/>
        <rFont val="メイリオ"/>
        <family val="3"/>
        <charset val="128"/>
      </rPr>
      <t>　</t>
    </r>
    <r>
      <rPr>
        <sz val="7"/>
        <rFont val="Arial"/>
        <family val="2"/>
      </rPr>
      <t xml:space="preserve"> Unit</t>
    </r>
    <r>
      <rPr>
        <sz val="7"/>
        <rFont val="メイリオ"/>
        <family val="3"/>
        <charset val="128"/>
      </rPr>
      <t>：</t>
    </r>
    <r>
      <rPr>
        <sz val="7"/>
        <rFont val="Arial"/>
        <family val="2"/>
      </rPr>
      <t xml:space="preserve"> Yen/Mt, %</t>
    </r>
    <r>
      <rPr>
        <sz val="7"/>
        <rFont val="メイリオ"/>
        <family val="3"/>
        <charset val="128"/>
      </rPr>
      <t>）</t>
    </r>
    <phoneticPr fontId="17"/>
  </si>
  <si>
    <r>
      <rPr>
        <sz val="7"/>
        <rFont val="メイリオ"/>
        <family val="3"/>
        <charset val="128"/>
      </rPr>
      <t>（単位：百万円、％</t>
    </r>
    <r>
      <rPr>
        <sz val="7"/>
        <rFont val="Arial"/>
        <family val="2"/>
      </rPr>
      <t xml:space="preserve"> </t>
    </r>
    <r>
      <rPr>
        <sz val="7"/>
        <rFont val="メイリオ"/>
        <family val="3"/>
        <charset val="128"/>
      </rPr>
      <t>　</t>
    </r>
    <r>
      <rPr>
        <sz val="7"/>
        <rFont val="Arial"/>
        <family val="2"/>
      </rPr>
      <t xml:space="preserve"> Unit</t>
    </r>
    <r>
      <rPr>
        <sz val="7"/>
        <rFont val="メイリオ"/>
        <family val="3"/>
        <charset val="128"/>
      </rPr>
      <t>：</t>
    </r>
    <r>
      <rPr>
        <sz val="7"/>
        <rFont val="Arial"/>
        <family val="2"/>
      </rPr>
      <t xml:space="preserve"> Million Yen, %</t>
    </r>
    <r>
      <rPr>
        <sz val="7"/>
        <rFont val="メイリオ"/>
        <family val="3"/>
        <charset val="128"/>
      </rPr>
      <t>）</t>
    </r>
    <phoneticPr fontId="18"/>
  </si>
  <si>
    <r>
      <rPr>
        <sz val="8"/>
        <rFont val="メイリオ"/>
        <family val="3"/>
        <charset val="128"/>
      </rPr>
      <t>（単位：百万円</t>
    </r>
    <r>
      <rPr>
        <sz val="8"/>
        <rFont val="Arial"/>
        <family val="2"/>
      </rPr>
      <t xml:space="preserve"> </t>
    </r>
    <r>
      <rPr>
        <sz val="8"/>
        <rFont val="メイリオ"/>
        <family val="3"/>
        <charset val="128"/>
      </rPr>
      <t>　</t>
    </r>
    <r>
      <rPr>
        <sz val="8"/>
        <rFont val="Arial"/>
        <family val="2"/>
      </rPr>
      <t xml:space="preserve"> Unit</t>
    </r>
    <r>
      <rPr>
        <sz val="8"/>
        <rFont val="メイリオ"/>
        <family val="3"/>
        <charset val="128"/>
      </rPr>
      <t>：</t>
    </r>
    <r>
      <rPr>
        <sz val="8"/>
        <rFont val="Arial"/>
        <family val="2"/>
      </rPr>
      <t xml:space="preserve"> Million Yen</t>
    </r>
    <r>
      <rPr>
        <sz val="8"/>
        <rFont val="メイリオ"/>
        <family val="3"/>
        <charset val="128"/>
      </rPr>
      <t>）</t>
    </r>
    <phoneticPr fontId="14"/>
  </si>
  <si>
    <r>
      <rPr>
        <sz val="9"/>
        <rFont val="ＭＳ Ｐゴシック"/>
        <family val="3"/>
        <charset val="128"/>
      </rPr>
      <t>（</t>
    </r>
    <r>
      <rPr>
        <sz val="9"/>
        <rFont val="メイリオ"/>
        <family val="3"/>
        <charset val="128"/>
      </rPr>
      <t>単位：百万円、％</t>
    </r>
    <r>
      <rPr>
        <sz val="9"/>
        <rFont val="Arial"/>
        <family val="2"/>
      </rPr>
      <t xml:space="preserve"> </t>
    </r>
    <r>
      <rPr>
        <sz val="9"/>
        <rFont val="ＭＳ Ｐゴシック"/>
        <family val="3"/>
        <charset val="128"/>
      </rPr>
      <t>　</t>
    </r>
    <r>
      <rPr>
        <sz val="9"/>
        <rFont val="Arial"/>
        <family val="2"/>
      </rPr>
      <t xml:space="preserve"> Unit </t>
    </r>
    <r>
      <rPr>
        <sz val="9"/>
        <rFont val="ＭＳ Ｐゴシック"/>
        <family val="3"/>
        <charset val="128"/>
      </rPr>
      <t>：</t>
    </r>
    <r>
      <rPr>
        <sz val="9"/>
        <rFont val="Arial"/>
        <family val="2"/>
      </rPr>
      <t xml:space="preserve"> Million Yen, %</t>
    </r>
    <r>
      <rPr>
        <sz val="9"/>
        <rFont val="ＭＳ Ｐゴシック"/>
        <family val="3"/>
        <charset val="128"/>
      </rPr>
      <t>）</t>
    </r>
    <phoneticPr fontId="17"/>
  </si>
  <si>
    <r>
      <rPr>
        <sz val="7"/>
        <rFont val="メイリオ"/>
        <family val="3"/>
        <charset val="128"/>
      </rPr>
      <t>（単位：百万円、％</t>
    </r>
    <r>
      <rPr>
        <sz val="7"/>
        <rFont val="Arial"/>
        <family val="2"/>
      </rPr>
      <t xml:space="preserve"> </t>
    </r>
    <r>
      <rPr>
        <sz val="7"/>
        <rFont val="メイリオ"/>
        <family val="3"/>
        <charset val="128"/>
      </rPr>
      <t>　</t>
    </r>
    <r>
      <rPr>
        <sz val="7"/>
        <rFont val="Arial"/>
        <family val="2"/>
      </rPr>
      <t xml:space="preserve"> Unit</t>
    </r>
    <r>
      <rPr>
        <sz val="7"/>
        <rFont val="メイリオ"/>
        <family val="3"/>
        <charset val="128"/>
      </rPr>
      <t>：</t>
    </r>
    <r>
      <rPr>
        <sz val="7"/>
        <rFont val="Arial"/>
        <family val="2"/>
      </rPr>
      <t xml:space="preserve"> Million Yen, %</t>
    </r>
    <r>
      <rPr>
        <sz val="7"/>
        <rFont val="メイリオ"/>
        <family val="3"/>
        <charset val="128"/>
      </rPr>
      <t>）</t>
    </r>
    <phoneticPr fontId="29"/>
  </si>
  <si>
    <r>
      <rPr>
        <sz val="7"/>
        <rFont val="メイリオ"/>
        <family val="3"/>
        <charset val="128"/>
      </rPr>
      <t>（単位：台、％、円、社、店</t>
    </r>
    <r>
      <rPr>
        <sz val="7"/>
        <rFont val="Arial"/>
        <family val="2"/>
      </rPr>
      <t xml:space="preserve"> </t>
    </r>
    <r>
      <rPr>
        <sz val="7"/>
        <rFont val="メイリオ"/>
        <family val="3"/>
        <charset val="128"/>
      </rPr>
      <t>　</t>
    </r>
    <r>
      <rPr>
        <sz val="7"/>
        <rFont val="Arial"/>
        <family val="2"/>
      </rPr>
      <t xml:space="preserve"> Unit</t>
    </r>
    <r>
      <rPr>
        <sz val="7"/>
        <rFont val="メイリオ"/>
        <family val="3"/>
        <charset val="128"/>
      </rPr>
      <t>：</t>
    </r>
    <r>
      <rPr>
        <sz val="7"/>
        <rFont val="Arial"/>
        <family val="2"/>
      </rPr>
      <t xml:space="preserve"> No. of Vehicles, %, Yen, No. of Companies, No. of Shops</t>
    </r>
    <r>
      <rPr>
        <sz val="7"/>
        <rFont val="メイリオ"/>
        <family val="3"/>
        <charset val="128"/>
      </rPr>
      <t>）</t>
    </r>
    <rPh sb="4" eb="5">
      <t>ダイ</t>
    </rPh>
    <rPh sb="8" eb="9">
      <t>エン</t>
    </rPh>
    <rPh sb="10" eb="11">
      <t>シャ</t>
    </rPh>
    <rPh sb="12" eb="13">
      <t>ミセ</t>
    </rPh>
    <phoneticPr fontId="18"/>
  </si>
  <si>
    <r>
      <rPr>
        <sz val="10"/>
        <rFont val="ＭＳ Ｐゴシック"/>
        <family val="3"/>
        <charset val="128"/>
      </rPr>
      <t>2403～その他</t>
    </r>
    <r>
      <rPr>
        <sz val="10"/>
        <rFont val="Arial"/>
        <family val="2"/>
      </rPr>
      <t>(</t>
    </r>
    <r>
      <rPr>
        <sz val="10"/>
        <rFont val="ＭＳ Ｐゴシック"/>
        <family val="3"/>
        <charset val="128"/>
      </rPr>
      <t>計算用</t>
    </r>
    <r>
      <rPr>
        <sz val="10"/>
        <rFont val="Arial"/>
        <family val="2"/>
      </rPr>
      <t>)</t>
    </r>
    <r>
      <rPr>
        <sz val="10"/>
        <rFont val="ＭＳ Ｐゴシック"/>
        <family val="3"/>
        <charset val="128"/>
      </rPr>
      <t>は不要</t>
    </r>
    <rPh sb="7" eb="8">
      <t>タ</t>
    </rPh>
    <rPh sb="9" eb="11">
      <t>ケイサン</t>
    </rPh>
    <rPh sb="11" eb="12">
      <t>ヨウ</t>
    </rPh>
    <rPh sb="14" eb="16">
      <t>フヨウ</t>
    </rPh>
    <phoneticPr fontId="29"/>
  </si>
  <si>
    <t>※セグメント資料の一部だがこのシートの売上高だけ外部数値(連結数値)を入れている。　注記事項シートに注意事項の記載有。</t>
    <rPh sb="6" eb="8">
      <t>シリョウ</t>
    </rPh>
    <rPh sb="9" eb="11">
      <t>イチブ</t>
    </rPh>
    <rPh sb="19" eb="22">
      <t>ウリアゲダカ</t>
    </rPh>
    <rPh sb="24" eb="26">
      <t>ガイブ</t>
    </rPh>
    <rPh sb="26" eb="28">
      <t>スウチ</t>
    </rPh>
    <rPh sb="29" eb="31">
      <t>レンケツ</t>
    </rPh>
    <rPh sb="31" eb="33">
      <t>スウチ</t>
    </rPh>
    <rPh sb="35" eb="36">
      <t>イ</t>
    </rPh>
    <rPh sb="42" eb="46">
      <t>チュウキジコウ</t>
    </rPh>
    <rPh sb="50" eb="54">
      <t>チュウイジコウ</t>
    </rPh>
    <rPh sb="55" eb="57">
      <t>キサイ</t>
    </rPh>
    <rPh sb="57" eb="58">
      <t>アリ</t>
    </rPh>
    <phoneticPr fontId="17"/>
  </si>
  <si>
    <t>照合</t>
    <rPh sb="0" eb="2">
      <t>ショウゴウ</t>
    </rPh>
    <phoneticPr fontId="17"/>
  </si>
  <si>
    <t>照合</t>
    <rPh sb="0" eb="2">
      <t>ショウゴウ</t>
    </rPh>
    <phoneticPr fontId="14"/>
  </si>
  <si>
    <t>※セグメント数値</t>
    <rPh sb="6" eb="8">
      <t>スウチ</t>
    </rPh>
    <phoneticPr fontId="17"/>
  </si>
  <si>
    <t>※セグメント数値</t>
    <rPh sb="6" eb="8">
      <t>スウチ</t>
    </rPh>
    <phoneticPr fontId="29"/>
  </si>
  <si>
    <t>役員賞与引当金の増加額</t>
    <rPh sb="8" eb="10">
      <t>ゾウカ</t>
    </rPh>
    <phoneticPr fontId="14"/>
  </si>
  <si>
    <t>訴訟解決金</t>
    <rPh sb="0" eb="2">
      <t>ソショウ</t>
    </rPh>
    <rPh sb="2" eb="5">
      <t>カイケツキン</t>
    </rPh>
    <phoneticPr fontId="9"/>
  </si>
  <si>
    <t>※隠れている項目もあるのでグループ化開いて編集。印刷時は閉じること。</t>
    <rPh sb="1" eb="2">
      <t>カク</t>
    </rPh>
    <rPh sb="6" eb="8">
      <t>コウモク</t>
    </rPh>
    <rPh sb="17" eb="18">
      <t>カ</t>
    </rPh>
    <rPh sb="18" eb="19">
      <t>ヒラ</t>
    </rPh>
    <rPh sb="21" eb="23">
      <t>ヘンシュウ</t>
    </rPh>
    <rPh sb="24" eb="27">
      <t>インサツジ</t>
    </rPh>
    <rPh sb="28" eb="29">
      <t>ト</t>
    </rPh>
    <phoneticPr fontId="17"/>
  </si>
  <si>
    <t>※グループ化を開いて印刷。</t>
    <rPh sb="5" eb="6">
      <t>カ</t>
    </rPh>
    <rPh sb="7" eb="8">
      <t>ヒラ</t>
    </rPh>
    <rPh sb="10" eb="12">
      <t>インサツ</t>
    </rPh>
    <phoneticPr fontId="17"/>
  </si>
  <si>
    <t>設備投資額(支出ベース)</t>
    <rPh sb="0" eb="2">
      <t>セツビ</t>
    </rPh>
    <rPh sb="2" eb="5">
      <t>トウシガク</t>
    </rPh>
    <rPh sb="6" eb="8">
      <t>シシュツ</t>
    </rPh>
    <phoneticPr fontId="23"/>
  </si>
  <si>
    <t>関係会社株式清算損益</t>
    <rPh sb="0" eb="6">
      <t>カンケイガイシャカブシキ</t>
    </rPh>
    <rPh sb="6" eb="10">
      <t>セイサンソンエキ</t>
    </rPh>
    <phoneticPr fontId="14"/>
  </si>
  <si>
    <t>売掛金の増加額</t>
    <rPh sb="0" eb="3">
      <t>ウリカケキン</t>
    </rPh>
    <rPh sb="4" eb="7">
      <t>ゾウカガク</t>
    </rPh>
    <phoneticPr fontId="14"/>
  </si>
  <si>
    <t>契約資産の増加額</t>
    <rPh sb="0" eb="2">
      <t>ケイヤク</t>
    </rPh>
    <rPh sb="2" eb="4">
      <t>シサン</t>
    </rPh>
    <rPh sb="5" eb="8">
      <t>ゾウカガク</t>
    </rPh>
    <phoneticPr fontId="14"/>
  </si>
  <si>
    <t>訴訟解決金の支払額</t>
    <rPh sb="0" eb="5">
      <t>ソショウカイケツキン</t>
    </rPh>
    <rPh sb="6" eb="9">
      <t>シハライガク</t>
    </rPh>
    <phoneticPr fontId="14"/>
  </si>
  <si>
    <t>投資不動産の取得による支出</t>
    <rPh sb="0" eb="5">
      <t>トウシフドウサン</t>
    </rPh>
    <rPh sb="6" eb="8">
      <t>シュトク</t>
    </rPh>
    <rPh sb="11" eb="13">
      <t>シシュツ</t>
    </rPh>
    <phoneticPr fontId="14"/>
  </si>
  <si>
    <t>非連結子会社清算による収入</t>
    <rPh sb="0" eb="3">
      <t>ヒレンケツ</t>
    </rPh>
    <rPh sb="3" eb="6">
      <t>コガイシャ</t>
    </rPh>
    <rPh sb="6" eb="8">
      <t>セイサン</t>
    </rPh>
    <rPh sb="11" eb="13">
      <t>シュウニュウ</t>
    </rPh>
    <phoneticPr fontId="9"/>
  </si>
  <si>
    <t>SO行使による収入</t>
    <rPh sb="2" eb="4">
      <t>コウシ</t>
    </rPh>
    <rPh sb="7" eb="9">
      <t>シュウニュウ</t>
    </rPh>
    <phoneticPr fontId="9"/>
  </si>
  <si>
    <t>CF計算書の貼り付け用※項目が追加されたら該当の場所に追加</t>
    <rPh sb="2" eb="5">
      <t>ケイサンショ</t>
    </rPh>
    <rPh sb="6" eb="7">
      <t>ハ</t>
    </rPh>
    <rPh sb="8" eb="9">
      <t>ツ</t>
    </rPh>
    <rPh sb="10" eb="11">
      <t>ヨウ</t>
    </rPh>
    <phoneticPr fontId="14"/>
  </si>
  <si>
    <r>
      <t>※2</t>
    </r>
    <r>
      <rPr>
        <sz val="10"/>
        <rFont val="ＭＳ ゴシック"/>
        <family val="3"/>
        <charset val="128"/>
      </rPr>
      <t>016.03～表示なら2025年４月～</t>
    </r>
    <rPh sb="9" eb="11">
      <t>ヒョウジ</t>
    </rPh>
    <rPh sb="17" eb="18">
      <t>ネン</t>
    </rPh>
    <rPh sb="19" eb="20">
      <t>ガツ</t>
    </rPh>
    <phoneticPr fontId="29"/>
  </si>
  <si>
    <r>
      <rPr>
        <sz val="6"/>
        <rFont val="メイリオ"/>
        <family val="3"/>
        <charset val="128"/>
      </rPr>
      <t>（単位：台、％　</t>
    </r>
    <r>
      <rPr>
        <sz val="6"/>
        <rFont val="Arial"/>
        <family val="2"/>
      </rPr>
      <t>Unit</t>
    </r>
    <r>
      <rPr>
        <sz val="6"/>
        <rFont val="メイリオ"/>
        <family val="3"/>
        <charset val="128"/>
      </rPr>
      <t>：</t>
    </r>
    <r>
      <rPr>
        <sz val="6"/>
        <rFont val="Arial"/>
        <family val="2"/>
      </rPr>
      <t xml:space="preserve"> No. of Vehicles, %</t>
    </r>
    <r>
      <rPr>
        <sz val="6"/>
        <rFont val="メイリオ"/>
        <family val="3"/>
        <charset val="128"/>
      </rPr>
      <t>）</t>
    </r>
    <rPh sb="1" eb="3">
      <t>タンイ</t>
    </rPh>
    <rPh sb="4" eb="5">
      <t>ダイ</t>
    </rPh>
    <phoneticPr fontId="17"/>
  </si>
  <si>
    <r>
      <rPr>
        <sz val="9"/>
        <rFont val="メイリオ"/>
        <family val="3"/>
        <charset val="128"/>
      </rPr>
      <t>（単位：百万円、％　</t>
    </r>
    <r>
      <rPr>
        <sz val="9"/>
        <rFont val="Arial"/>
        <family val="2"/>
      </rPr>
      <t>Unit</t>
    </r>
    <r>
      <rPr>
        <sz val="9"/>
        <rFont val="メイリオ"/>
        <family val="3"/>
        <charset val="128"/>
      </rPr>
      <t>：</t>
    </r>
    <r>
      <rPr>
        <sz val="9"/>
        <rFont val="Arial"/>
        <family val="2"/>
      </rPr>
      <t xml:space="preserve"> Million Yen, %</t>
    </r>
    <r>
      <rPr>
        <sz val="9"/>
        <rFont val="メイリオ"/>
        <family val="3"/>
        <charset val="128"/>
      </rPr>
      <t>）</t>
    </r>
    <phoneticPr fontId="29"/>
  </si>
  <si>
    <r>
      <rPr>
        <sz val="8"/>
        <rFont val="メイリオ"/>
        <family val="3"/>
        <charset val="128"/>
      </rPr>
      <t>（単位：百万円、％　</t>
    </r>
    <r>
      <rPr>
        <sz val="8"/>
        <rFont val="Arial"/>
        <family val="2"/>
      </rPr>
      <t>Unit</t>
    </r>
    <r>
      <rPr>
        <sz val="8"/>
        <rFont val="メイリオ"/>
        <family val="3"/>
        <charset val="128"/>
      </rPr>
      <t>：</t>
    </r>
    <r>
      <rPr>
        <sz val="8"/>
        <rFont val="Arial"/>
        <family val="2"/>
      </rPr>
      <t xml:space="preserve"> Million Yen, %</t>
    </r>
    <r>
      <rPr>
        <sz val="8"/>
        <rFont val="メイリオ"/>
        <family val="3"/>
        <charset val="128"/>
      </rPr>
      <t>）</t>
    </r>
    <phoneticPr fontId="18"/>
  </si>
  <si>
    <r>
      <rPr>
        <sz val="8"/>
        <rFont val="メイリオ"/>
        <family val="3"/>
        <charset val="128"/>
      </rPr>
      <t>（単位：台、％</t>
    </r>
    <r>
      <rPr>
        <sz val="8"/>
        <rFont val="Arial"/>
        <family val="2"/>
      </rPr>
      <t xml:space="preserve">   Unit</t>
    </r>
    <r>
      <rPr>
        <sz val="8"/>
        <rFont val="メイリオ"/>
        <family val="3"/>
        <charset val="128"/>
      </rPr>
      <t>：</t>
    </r>
    <r>
      <rPr>
        <sz val="8"/>
        <rFont val="Arial"/>
        <family val="2"/>
      </rPr>
      <t xml:space="preserve"> No. of Vehicles, %</t>
    </r>
    <r>
      <rPr>
        <sz val="8"/>
        <rFont val="メイリオ"/>
        <family val="3"/>
        <charset val="128"/>
      </rPr>
      <t>）</t>
    </r>
    <rPh sb="4" eb="5">
      <t>ダイ</t>
    </rPh>
    <phoneticPr fontId="18"/>
  </si>
  <si>
    <r>
      <rPr>
        <sz val="6"/>
        <rFont val="メイリオ"/>
        <family val="3"/>
        <charset val="128"/>
      </rPr>
      <t>（増減率　</t>
    </r>
    <r>
      <rPr>
        <sz val="6"/>
        <rFont val="Arial"/>
        <family val="2"/>
      </rPr>
      <t>YoY Changes</t>
    </r>
    <r>
      <rPr>
        <sz val="6"/>
        <rFont val="メイリオ"/>
        <family val="3"/>
        <charset val="128"/>
      </rPr>
      <t>）</t>
    </r>
    <rPh sb="1" eb="3">
      <t>ゾウゲン</t>
    </rPh>
    <rPh sb="3" eb="4">
      <t>リツ</t>
    </rPh>
    <phoneticPr fontId="17"/>
  </si>
  <si>
    <r>
      <rPr>
        <sz val="7"/>
        <rFont val="メイリオ"/>
        <family val="3"/>
        <charset val="128"/>
      </rPr>
      <t>（単位：千台、％</t>
    </r>
    <r>
      <rPr>
        <sz val="7"/>
        <rFont val="Arial"/>
        <family val="2"/>
      </rPr>
      <t xml:space="preserve"> </t>
    </r>
    <r>
      <rPr>
        <sz val="7"/>
        <rFont val="Yu Gothic"/>
        <family val="2"/>
        <charset val="128"/>
      </rPr>
      <t>　</t>
    </r>
    <r>
      <rPr>
        <sz val="7"/>
        <rFont val="Arial"/>
        <family val="2"/>
      </rPr>
      <t xml:space="preserve"> Unit</t>
    </r>
    <r>
      <rPr>
        <sz val="7"/>
        <rFont val="Yu Gothic"/>
        <family val="2"/>
        <charset val="128"/>
      </rPr>
      <t>：</t>
    </r>
    <r>
      <rPr>
        <sz val="7"/>
        <rFont val="Arial"/>
        <family val="2"/>
      </rPr>
      <t>Thousand Vehicles, %</t>
    </r>
    <r>
      <rPr>
        <sz val="7"/>
        <rFont val="メイリオ"/>
        <family val="3"/>
        <charset val="128"/>
      </rPr>
      <t>）</t>
    </r>
    <phoneticPr fontId="17"/>
  </si>
  <si>
    <r>
      <rPr>
        <sz val="7"/>
        <rFont val="メイリオ"/>
        <family val="3"/>
        <charset val="128"/>
      </rPr>
      <t>（単位：千台、％</t>
    </r>
    <r>
      <rPr>
        <sz val="7"/>
        <rFont val="Arial"/>
        <family val="2"/>
      </rPr>
      <t xml:space="preserve"> / Unit</t>
    </r>
    <r>
      <rPr>
        <sz val="7"/>
        <rFont val="メイリオ"/>
        <family val="3"/>
        <charset val="128"/>
      </rPr>
      <t>：</t>
    </r>
    <r>
      <rPr>
        <sz val="7"/>
        <rFont val="Arial"/>
        <family val="2"/>
      </rPr>
      <t>Thousand Vehicles, %</t>
    </r>
    <r>
      <rPr>
        <sz val="7"/>
        <rFont val="メイリオ"/>
        <family val="3"/>
        <charset val="128"/>
      </rPr>
      <t>）</t>
    </r>
    <phoneticPr fontId="17"/>
  </si>
  <si>
    <r>
      <rPr>
        <sz val="7"/>
        <rFont val="メイリオ"/>
        <family val="3"/>
        <charset val="128"/>
      </rPr>
      <t>（単位：千台、％</t>
    </r>
    <r>
      <rPr>
        <sz val="7"/>
        <rFont val="Arial"/>
        <family val="2"/>
      </rPr>
      <t xml:space="preserve"> </t>
    </r>
    <r>
      <rPr>
        <sz val="7"/>
        <rFont val="Yu Gothic"/>
        <family val="2"/>
        <charset val="128"/>
      </rPr>
      <t>　</t>
    </r>
    <r>
      <rPr>
        <sz val="7"/>
        <rFont val="Arial"/>
        <family val="2"/>
      </rPr>
      <t xml:space="preserve"> Unit</t>
    </r>
    <r>
      <rPr>
        <sz val="7"/>
        <rFont val="メイリオ"/>
        <family val="3"/>
        <charset val="128"/>
      </rPr>
      <t>：</t>
    </r>
    <r>
      <rPr>
        <sz val="7"/>
        <rFont val="Arial"/>
        <family val="2"/>
      </rPr>
      <t>Thousand Motorcycles, %</t>
    </r>
    <r>
      <rPr>
        <sz val="7"/>
        <rFont val="メイリオ"/>
        <family val="3"/>
        <charset val="128"/>
      </rPr>
      <t>）</t>
    </r>
    <rPh sb="1" eb="3">
      <t>タンイ</t>
    </rPh>
    <rPh sb="4" eb="5">
      <t>セン</t>
    </rPh>
    <rPh sb="5" eb="6">
      <t>ダイ</t>
    </rPh>
    <phoneticPr fontId="17"/>
  </si>
  <si>
    <r>
      <rPr>
        <sz val="7"/>
        <rFont val="メイリオ"/>
        <family val="3"/>
        <charset val="128"/>
      </rPr>
      <t>（単位：千台、％　</t>
    </r>
    <r>
      <rPr>
        <sz val="7"/>
        <rFont val="Arial"/>
        <family val="2"/>
      </rPr>
      <t>Unit</t>
    </r>
    <r>
      <rPr>
        <sz val="7"/>
        <rFont val="メイリオ"/>
        <family val="3"/>
        <charset val="128"/>
      </rPr>
      <t>：</t>
    </r>
    <r>
      <rPr>
        <sz val="7"/>
        <rFont val="Arial"/>
        <family val="2"/>
      </rPr>
      <t>Thousand Motorcycles, %</t>
    </r>
    <r>
      <rPr>
        <sz val="7"/>
        <rFont val="メイリオ"/>
        <family val="3"/>
        <charset val="128"/>
      </rPr>
      <t>）</t>
    </r>
    <rPh sb="1" eb="3">
      <t>タンイ</t>
    </rPh>
    <rPh sb="4" eb="5">
      <t>セン</t>
    </rPh>
    <rPh sb="5" eb="6">
      <t>ダイ</t>
    </rPh>
    <phoneticPr fontId="17"/>
  </si>
  <si>
    <r>
      <rPr>
        <sz val="7"/>
        <rFont val="メイリオ"/>
        <family val="3"/>
        <charset val="128"/>
      </rPr>
      <t>（単位：百万円、％</t>
    </r>
    <r>
      <rPr>
        <sz val="7"/>
        <rFont val="Arial"/>
        <family val="2"/>
      </rPr>
      <t xml:space="preserve"> </t>
    </r>
    <r>
      <rPr>
        <sz val="7"/>
        <rFont val="メイリオ"/>
        <family val="3"/>
        <charset val="128"/>
      </rPr>
      <t>　</t>
    </r>
    <r>
      <rPr>
        <sz val="7"/>
        <rFont val="Arial"/>
        <family val="2"/>
      </rPr>
      <t xml:space="preserve"> Unit</t>
    </r>
    <r>
      <rPr>
        <sz val="7"/>
        <rFont val="メイリオ"/>
        <family val="3"/>
        <charset val="128"/>
      </rPr>
      <t>：</t>
    </r>
    <r>
      <rPr>
        <sz val="7"/>
        <rFont val="Arial"/>
        <family val="2"/>
      </rPr>
      <t>Million Yen, %</t>
    </r>
    <r>
      <rPr>
        <sz val="7"/>
        <rFont val="メイリオ"/>
        <family val="3"/>
        <charset val="128"/>
      </rPr>
      <t>）</t>
    </r>
    <phoneticPr fontId="17"/>
  </si>
  <si>
    <r>
      <rPr>
        <sz val="7"/>
        <rFont val="メイリオ"/>
        <family val="3"/>
        <charset val="128"/>
        <scheme val="minor"/>
      </rPr>
      <t>（</t>
    </r>
    <r>
      <rPr>
        <sz val="7"/>
        <rFont val="メイリオ"/>
        <family val="3"/>
        <charset val="128"/>
        <scheme val="major"/>
      </rPr>
      <t>単位：円、</t>
    </r>
    <r>
      <rPr>
        <sz val="7"/>
        <rFont val="ＭＳ ゴシック"/>
        <family val="3"/>
        <charset val="128"/>
      </rPr>
      <t>％</t>
    </r>
    <r>
      <rPr>
        <sz val="7"/>
        <rFont val="Arial"/>
        <family val="2"/>
      </rPr>
      <t xml:space="preserve"> </t>
    </r>
    <r>
      <rPr>
        <sz val="7"/>
        <rFont val="ＭＳ ゴシック"/>
        <family val="3"/>
        <charset val="128"/>
      </rPr>
      <t>　</t>
    </r>
    <r>
      <rPr>
        <sz val="7"/>
        <rFont val="Arial"/>
        <family val="2"/>
      </rPr>
      <t xml:space="preserve"> Unit</t>
    </r>
    <r>
      <rPr>
        <sz val="7"/>
        <rFont val="ＭＳ ゴシック"/>
        <family val="3"/>
        <charset val="128"/>
      </rPr>
      <t>：</t>
    </r>
    <r>
      <rPr>
        <sz val="7"/>
        <rFont val="Arial"/>
        <family val="2"/>
      </rPr>
      <t>Yen, %</t>
    </r>
    <r>
      <rPr>
        <sz val="7"/>
        <rFont val="ＭＳ ゴシック"/>
        <family val="3"/>
        <charset val="128"/>
      </rPr>
      <t>）</t>
    </r>
    <phoneticPr fontId="17"/>
  </si>
  <si>
    <r>
      <t>（単位：円、％ 　</t>
    </r>
    <r>
      <rPr>
        <sz val="7"/>
        <rFont val="Arial"/>
        <family val="2"/>
      </rPr>
      <t xml:space="preserve"> Unit</t>
    </r>
    <r>
      <rPr>
        <sz val="7"/>
        <rFont val="メイリオ"/>
        <family val="3"/>
        <charset val="128"/>
      </rPr>
      <t>：</t>
    </r>
    <r>
      <rPr>
        <sz val="7"/>
        <rFont val="Arial"/>
        <family val="2"/>
      </rPr>
      <t>Yen, %</t>
    </r>
    <r>
      <rPr>
        <sz val="7"/>
        <rFont val="メイリオ"/>
        <family val="3"/>
        <charset val="128"/>
        <scheme val="major"/>
      </rPr>
      <t>）</t>
    </r>
    <phoneticPr fontId="17"/>
  </si>
  <si>
    <r>
      <t>(</t>
    </r>
    <r>
      <rPr>
        <sz val="6"/>
        <rFont val="メイリオ"/>
        <family val="3"/>
        <charset val="128"/>
      </rPr>
      <t>出所：</t>
    </r>
    <r>
      <rPr>
        <sz val="6"/>
        <rFont val="Arial"/>
        <family val="2"/>
      </rPr>
      <t>(</t>
    </r>
    <r>
      <rPr>
        <sz val="6"/>
        <rFont val="メイリオ"/>
        <family val="3"/>
        <charset val="128"/>
      </rPr>
      <t>株</t>
    </r>
    <r>
      <rPr>
        <sz val="6"/>
        <rFont val="Arial"/>
        <family val="2"/>
      </rPr>
      <t>)</t>
    </r>
    <r>
      <rPr>
        <sz val="6"/>
        <rFont val="メイリオ"/>
        <family val="3"/>
        <charset val="128"/>
      </rPr>
      <t>日刊市況通信社</t>
    </r>
    <r>
      <rPr>
        <sz val="6"/>
        <rFont val="Arial"/>
        <family val="2"/>
      </rPr>
      <t>)</t>
    </r>
    <r>
      <rPr>
        <sz val="6"/>
        <rFont val="メイリオ"/>
        <family val="3"/>
        <charset val="128"/>
      </rPr>
      <t>　</t>
    </r>
    <r>
      <rPr>
        <sz val="6"/>
        <rFont val="Arial"/>
        <family val="2"/>
      </rPr>
      <t>(Source: Nikkan Shikyo Tsushinsha Co.,Ltd.)</t>
    </r>
    <rPh sb="1" eb="3">
      <t>デドコロ</t>
    </rPh>
    <rPh sb="4" eb="7">
      <t>カブ</t>
    </rPh>
    <rPh sb="5" eb="6">
      <t>カブ</t>
    </rPh>
    <rPh sb="7" eb="9">
      <t>ニッカン</t>
    </rPh>
    <rPh sb="9" eb="11">
      <t>シキョウ</t>
    </rPh>
    <rPh sb="11" eb="13">
      <t>ツウシン</t>
    </rPh>
    <rPh sb="13" eb="14">
      <t>シャ</t>
    </rPh>
    <phoneticPr fontId="17"/>
  </si>
  <si>
    <t>(Sources: Japan Automobile Manufacturers Association, Japan Light Motor Vehicle and Motorcycle Association)</t>
    <phoneticPr fontId="17"/>
  </si>
  <si>
    <t>The notes in this material are as follows</t>
    <phoneticPr fontId="29"/>
  </si>
  <si>
    <r>
      <rPr>
        <sz val="8"/>
        <rFont val="メイリオ"/>
        <family val="3"/>
        <charset val="128"/>
      </rPr>
      <t>発行済株式数（自己株式除く）　</t>
    </r>
    <r>
      <rPr>
        <sz val="6"/>
        <rFont val="Arial"/>
        <family val="2"/>
      </rPr>
      <t>Number of Shares Outstanding (excl. Treasury Shares)</t>
    </r>
    <rPh sb="0" eb="2">
      <t>ハッコウ</t>
    </rPh>
    <rPh sb="2" eb="3">
      <t>ズ</t>
    </rPh>
    <rPh sb="3" eb="6">
      <t>カブシキスウ</t>
    </rPh>
    <rPh sb="7" eb="9">
      <t>ジコ</t>
    </rPh>
    <rPh sb="9" eb="11">
      <t>カブシキ</t>
    </rPh>
    <rPh sb="11" eb="12">
      <t>ノゾ</t>
    </rPh>
    <phoneticPr fontId="17"/>
  </si>
  <si>
    <t>The notes in this material are as follows</t>
    <phoneticPr fontId="29"/>
  </si>
  <si>
    <t xml:space="preserve">The calculating formulas in this material are as follows. </t>
    <phoneticPr fontId="29"/>
  </si>
  <si>
    <t>■2025年3月期は表の下に表記していた注記は注記事項のページにある。特殊だからわざわざ表記した？２０２６年３月期にこのページからは削除。</t>
    <rPh sb="5" eb="6">
      <t>ネン</t>
    </rPh>
    <rPh sb="7" eb="8">
      <t>ガツ</t>
    </rPh>
    <rPh sb="8" eb="9">
      <t>キ</t>
    </rPh>
    <rPh sb="10" eb="11">
      <t>ヒョウ</t>
    </rPh>
    <rPh sb="12" eb="13">
      <t>シタ</t>
    </rPh>
    <rPh sb="14" eb="16">
      <t>ヒョウキ</t>
    </rPh>
    <rPh sb="20" eb="22">
      <t>チュウキ</t>
    </rPh>
    <rPh sb="23" eb="25">
      <t>チュウキ</t>
    </rPh>
    <rPh sb="25" eb="27">
      <t>ジコウ</t>
    </rPh>
    <rPh sb="35" eb="37">
      <t>トクシュ</t>
    </rPh>
    <rPh sb="44" eb="46">
      <t>ヒョウキ</t>
    </rPh>
    <rPh sb="53" eb="54">
      <t>ネン</t>
    </rPh>
    <rPh sb="55" eb="57">
      <t>ガツキ</t>
    </rPh>
    <rPh sb="66" eb="68">
      <t>サクジョ</t>
    </rPh>
    <phoneticPr fontId="29"/>
  </si>
  <si>
    <t>アラブ首長国連邦</t>
  </si>
  <si>
    <t>ロシア</t>
  </si>
  <si>
    <t>タンザニア</t>
  </si>
  <si>
    <t>ケニア</t>
  </si>
  <si>
    <t>ニュージーランド</t>
  </si>
  <si>
    <t>Russia</t>
  </si>
  <si>
    <t>Russia</t>
    <phoneticPr fontId="17"/>
  </si>
  <si>
    <t>Tanzania</t>
  </si>
  <si>
    <t>Tanzania</t>
    <phoneticPr fontId="17"/>
  </si>
  <si>
    <t>Kenya</t>
  </si>
  <si>
    <t>Kenya</t>
    <phoneticPr fontId="17"/>
  </si>
  <si>
    <t>New Zealand</t>
    <phoneticPr fontId="29"/>
  </si>
  <si>
    <t>その他</t>
    <rPh sb="2" eb="3">
      <t>タ</t>
    </rPh>
    <phoneticPr fontId="29"/>
  </si>
  <si>
    <t>Other</t>
  </si>
  <si>
    <t>Other</t>
    <phoneticPr fontId="29"/>
  </si>
  <si>
    <t>合計</t>
    <rPh sb="0" eb="2">
      <t>ゴウケイ</t>
    </rPh>
    <phoneticPr fontId="29"/>
  </si>
  <si>
    <t>Mongolia</t>
  </si>
  <si>
    <t>　■表示国は、アフリカ州を除く上位６カ国。</t>
    <rPh sb="2" eb="4">
      <t>ヒョウジ</t>
    </rPh>
    <rPh sb="4" eb="5">
      <t>コク</t>
    </rPh>
    <rPh sb="11" eb="12">
      <t>シュウ</t>
    </rPh>
    <rPh sb="13" eb="14">
      <t>ノゾ</t>
    </rPh>
    <rPh sb="15" eb="17">
      <t>ジョウイ</t>
    </rPh>
    <rPh sb="19" eb="20">
      <t>コク</t>
    </rPh>
    <phoneticPr fontId="17"/>
  </si>
  <si>
    <t>　タンザニア　Tanzania</t>
    <phoneticPr fontId="29"/>
  </si>
  <si>
    <t>　ケニア　Kenya</t>
    <phoneticPr fontId="29"/>
  </si>
  <si>
    <t>　 ■アフリカの各国が増加しているため、2603よりアフリカをまとめず、最新年の国別TOP7を表記。印刷ページ内の国とグラフ名も変更すること。</t>
    <rPh sb="8" eb="10">
      <t>カッコク</t>
    </rPh>
    <rPh sb="11" eb="13">
      <t>ゾウカ</t>
    </rPh>
    <rPh sb="36" eb="38">
      <t>サイシン</t>
    </rPh>
    <rPh sb="38" eb="39">
      <t>ネン</t>
    </rPh>
    <rPh sb="40" eb="42">
      <t>クニベツ</t>
    </rPh>
    <rPh sb="47" eb="49">
      <t>ヒョウキ</t>
    </rPh>
    <rPh sb="50" eb="52">
      <t>インサツ</t>
    </rPh>
    <rPh sb="55" eb="56">
      <t>ナイ</t>
    </rPh>
    <rPh sb="57" eb="58">
      <t>クニ</t>
    </rPh>
    <rPh sb="62" eb="63">
      <t>メイ</t>
    </rPh>
    <rPh sb="64" eb="66">
      <t>ヘンコウ</t>
    </rPh>
    <phoneticPr fontId="29"/>
  </si>
  <si>
    <t>４月</t>
    <rPh sb="1" eb="2">
      <t>ガツ</t>
    </rPh>
    <phoneticPr fontId="29"/>
  </si>
  <si>
    <r>
      <rPr>
        <sz val="10"/>
        <rFont val="ＭＳ Ｐゴシック"/>
        <family val="3"/>
        <charset val="128"/>
      </rPr>
      <t>※</t>
    </r>
    <r>
      <rPr>
        <sz val="10"/>
        <rFont val="Arial"/>
        <family val="2"/>
      </rPr>
      <t>-</t>
    </r>
    <r>
      <rPr>
        <sz val="10"/>
        <rFont val="ＭＳ Ｐゴシック"/>
        <family val="3"/>
        <charset val="128"/>
      </rPr>
      <t>や</t>
    </r>
    <r>
      <rPr>
        <sz val="10"/>
        <rFont val="Arial"/>
        <family val="2"/>
      </rPr>
      <t>HAA</t>
    </r>
    <r>
      <rPr>
        <sz val="10"/>
        <rFont val="ＭＳ Ｐゴシック"/>
        <family val="3"/>
        <charset val="128"/>
      </rPr>
      <t>など</t>
    </r>
    <phoneticPr fontId="14"/>
  </si>
  <si>
    <t>ＨＡＡ神戸</t>
    <rPh sb="3" eb="5">
      <t>コウベ</t>
    </rPh>
    <phoneticPr fontId="14"/>
  </si>
  <si>
    <r>
      <t xml:space="preserve"> </t>
    </r>
    <r>
      <rPr>
        <sz val="10"/>
        <rFont val="メイリオ"/>
        <family val="3"/>
        <charset val="128"/>
      </rPr>
      <t>アライ</t>
    </r>
    <r>
      <rPr>
        <sz val="10"/>
        <rFont val="Arial"/>
        <family val="2"/>
      </rPr>
      <t>AA</t>
    </r>
    <r>
      <rPr>
        <sz val="10"/>
        <rFont val="ＭＳ Ｐゴシック"/>
        <family val="2"/>
        <charset val="128"/>
      </rPr>
      <t>　</t>
    </r>
    <r>
      <rPr>
        <sz val="10"/>
        <rFont val="Arial"/>
        <family val="2"/>
      </rPr>
      <t xml:space="preserve"> Arai AA</t>
    </r>
    <phoneticPr fontId="29"/>
  </si>
  <si>
    <r>
      <rPr>
        <sz val="10"/>
        <rFont val="ＭＳ Ｐゴシック"/>
        <family val="3"/>
        <charset val="128"/>
      </rPr>
      <t>■順位も太字になっているか確認すること。</t>
    </r>
    <r>
      <rPr>
        <sz val="10"/>
        <rFont val="Arial"/>
        <family val="2"/>
      </rPr>
      <t>USS</t>
    </r>
    <r>
      <rPr>
        <sz val="10"/>
        <rFont val="ＭＳ Ｐゴシック"/>
        <family val="3"/>
        <charset val="128"/>
      </rPr>
      <t>以外は太字を外すこと。</t>
    </r>
    <rPh sb="1" eb="3">
      <t>ジュンイ</t>
    </rPh>
    <rPh sb="4" eb="6">
      <t>フトジ</t>
    </rPh>
    <rPh sb="13" eb="15">
      <t>カクニン</t>
    </rPh>
    <rPh sb="23" eb="25">
      <t>イガイ</t>
    </rPh>
    <rPh sb="26" eb="28">
      <t>フトジ</t>
    </rPh>
    <rPh sb="29" eb="30">
      <t>ハズ</t>
    </rPh>
    <phoneticPr fontId="29"/>
  </si>
  <si>
    <r>
      <rPr>
        <sz val="9"/>
        <rFont val="ＭＳ Ｐゴシック"/>
        <family val="3"/>
        <charset val="128"/>
      </rPr>
      <t>■総出品台数に占める低額車割合</t>
    </r>
    <r>
      <rPr>
        <sz val="9"/>
        <rFont val="Arial"/>
        <family val="2"/>
      </rPr>
      <t>(JBA</t>
    </r>
    <r>
      <rPr>
        <sz val="9"/>
        <rFont val="ＭＳ Ｐゴシック"/>
        <family val="3"/>
        <charset val="128"/>
      </rPr>
      <t>除く</t>
    </r>
    <r>
      <rPr>
        <sz val="9"/>
        <rFont val="Arial"/>
        <family val="2"/>
      </rPr>
      <t>)</t>
    </r>
    <r>
      <rPr>
        <sz val="9"/>
        <rFont val="ＭＳ Ｐゴシック"/>
        <family val="3"/>
        <charset val="128"/>
      </rPr>
      <t>のグラフ下の％数字は○の垂直に合わせる。</t>
    </r>
    <rPh sb="1" eb="6">
      <t>ソウシュッピンダイスウ</t>
    </rPh>
    <rPh sb="7" eb="8">
      <t>シ</t>
    </rPh>
    <rPh sb="10" eb="13">
      <t>テイガクシャ</t>
    </rPh>
    <rPh sb="13" eb="15">
      <t>ワリアイ</t>
    </rPh>
    <rPh sb="19" eb="20">
      <t>ノゾ</t>
    </rPh>
    <rPh sb="26" eb="27">
      <t>シタ</t>
    </rPh>
    <rPh sb="28" eb="31">
      <t>パーセントスウジ</t>
    </rPh>
    <rPh sb="34" eb="36">
      <t>スイチョク</t>
    </rPh>
    <rPh sb="37" eb="38">
      <t>ア</t>
    </rPh>
    <phoneticPr fontId="17"/>
  </si>
  <si>
    <r>
      <rPr>
        <sz val="8"/>
        <rFont val="メイリオ"/>
        <family val="3"/>
        <charset val="128"/>
      </rPr>
      <t>　メーカー・ディーラー系　</t>
    </r>
    <r>
      <rPr>
        <sz val="8"/>
        <rFont val="Arial"/>
        <family val="2"/>
      </rPr>
      <t>Manufacturer/Dealer-affiliated</t>
    </r>
    <rPh sb="11" eb="12">
      <t xml:space="preserve">
</t>
    </rPh>
    <phoneticPr fontId="17"/>
  </si>
  <si>
    <r>
      <rPr>
        <sz val="6"/>
        <color theme="0"/>
        <rFont val="メイリオ"/>
        <family val="3"/>
        <charset val="128"/>
      </rPr>
      <t>過去</t>
    </r>
    <r>
      <rPr>
        <sz val="6"/>
        <color theme="0"/>
        <rFont val="Arial"/>
        <family val="2"/>
      </rPr>
      <t>10</t>
    </r>
    <r>
      <rPr>
        <sz val="6"/>
        <color theme="0"/>
        <rFont val="メイリオ"/>
        <family val="3"/>
        <charset val="128"/>
      </rPr>
      <t>年
平均増減率</t>
    </r>
    <phoneticPr fontId="29"/>
  </si>
  <si>
    <r>
      <t xml:space="preserve"> JU</t>
    </r>
    <r>
      <rPr>
        <sz val="10"/>
        <rFont val="メイリオ"/>
        <family val="3"/>
        <charset val="128"/>
      </rPr>
      <t>岐阜　</t>
    </r>
    <r>
      <rPr>
        <sz val="10"/>
        <rFont val="Arial"/>
        <family val="2"/>
      </rPr>
      <t xml:space="preserve"> JU Gifu</t>
    </r>
    <phoneticPr fontId="17"/>
  </si>
  <si>
    <t>Ｒ－名古屋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</si>
</sst>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7">
    <numFmt numFmtId="6" formatCode="&quot;¥&quot;#,##0;[Red]&quot;¥&quot;\-#,##0"/>
    <numFmt numFmtId="8" formatCode="&quot;¥&quot;#,##0.00;[Red]&quot;¥&quot;\-#,##0.00"/>
    <numFmt numFmtId="176" formatCode="#,##0.0;[Red]\-#,##0.0"/>
    <numFmt numFmtId="177" formatCode="0.0%"/>
    <numFmt numFmtId="178" formatCode="#,##0;&quot;▲ &quot;#,##0"/>
    <numFmt numFmtId="179" formatCode="#,##0.0;&quot;▲ &quot;#,##0.0"/>
    <numFmt numFmtId="180" formatCode="#,##0;&quot;△ &quot;#,##0"/>
    <numFmt numFmtId="181" formatCode="yy/m"/>
    <numFmt numFmtId="182" formatCode="#,##0;&quot;▲  &quot;#,##0"/>
    <numFmt numFmtId="183" formatCode="#,###;&quot;▲  &quot;#,###"/>
    <numFmt numFmtId="184" formatCode="0.0;&quot;▲ &quot;0.0"/>
    <numFmt numFmtId="185" formatCode="#,##0.0;&quot;△ &quot;#,##0.0"/>
    <numFmt numFmtId="186" formatCode="0.0_ "/>
    <numFmt numFmtId="187" formatCode="#,##0_);[Red]\(#,##0\)"/>
    <numFmt numFmtId="188" formatCode="#,##0.0;[Black]&quot;▲&quot;#,##0.0"/>
    <numFmt numFmtId="189" formatCode="#,;[Red]\-#,"/>
    <numFmt numFmtId="190" formatCode="0_ "/>
    <numFmt numFmtId="191" formatCode="#,##0.0_);[Red]\(#,##0.0\)"/>
    <numFmt numFmtId="192" formatCode="0_);[Red]\(0\)"/>
    <numFmt numFmtId="193" formatCode="#,###,;[Red]\-#,"/>
    <numFmt numFmtId="194" formatCode="#,##0.0000;&quot;△ &quot;#,##0.0000"/>
    <numFmt numFmtId="195" formatCode="#,##0_ ;[Red]\-#,##0\ "/>
    <numFmt numFmtId="196" formatCode="#;[Red]\-#"/>
    <numFmt numFmtId="197" formatCode="\(#,##0.0\);\(&quot;▲ &quot;#,##0.0\)"/>
    <numFmt numFmtId="198" formatCode="\(#,##0.0\);[Red]\(\-#,##0.0\)"/>
    <numFmt numFmtId="199" formatCode="#,##0,;[Red]\-#,##0,"/>
    <numFmt numFmtId="200" formatCode="#,##0,,;[Red]\-#,##0,,"/>
    <numFmt numFmtId="201" formatCode="#,##0.00;&quot;▲ &quot;#,##0.00"/>
    <numFmt numFmtId="202" formatCode="#,##0.0&quot;p&quot;;[Black]&quot;▲&quot;#,##0.0&quot;p&quot;"/>
    <numFmt numFmtId="203" formatCode="#,##0;[Red]\-#,##0;\-"/>
    <numFmt numFmtId="204" formatCode="#,##0;[Red]&quot;¥&quot;&quot;¥&quot;\(#,##0&quot;¥&quot;&quot;¥&quot;\)"/>
    <numFmt numFmtId="205" formatCode="_-* #,##0_-;&quot;¥&quot;&quot;¥&quot;\-* #,##0_-;_-* &quot;-&quot;??_-;_-@_-"/>
    <numFmt numFmtId="206" formatCode="_ * #,##0_)&quot;｣&quot;_ ;_ * &quot;¥&quot;&quot;¥&quot;\(#,##0&quot;¥&quot;&quot;¥&quot;\)&quot;｣&quot;_ ;_ * &quot;-&quot;_)&quot;｣&quot;_ ;_ @_ "/>
    <numFmt numFmtId="207" formatCode="&quot;｣&quot;#,##0;&quot;¥&quot;&quot;¥&quot;\-&quot;｣&quot;#,##0"/>
    <numFmt numFmtId="208" formatCode="&quot;｣&quot;#,##0.00;&quot;¥&quot;&quot;¥&quot;\-&quot;｣&quot;#,##0.00"/>
    <numFmt numFmtId="209" formatCode="_-* #,##0.00_-;\-* #,##0.00_-;_-* &quot;-&quot;??_-;_-@_-"/>
    <numFmt numFmtId="210" formatCode="_-* #,##0_-;\-* #,##0_-;_-* &quot;-&quot;_-;_-@_-"/>
    <numFmt numFmtId="211" formatCode="#,##0.0"/>
    <numFmt numFmtId="212" formatCode="0.0000;&quot;▲ &quot;0.0000"/>
    <numFmt numFmtId="213" formatCode="#,##0.0;[Black]&quot;▲&quot;#,##0.0;\-"/>
    <numFmt numFmtId="214" formatCode="0.0"/>
    <numFmt numFmtId="215" formatCode="#,##0;&quot;▲ &quot;#,##0,"/>
    <numFmt numFmtId="216" formatCode="#,##0.00;&quot;△ &quot;#,##0.00"/>
    <numFmt numFmtId="217" formatCode="0.0000_ "/>
    <numFmt numFmtId="218" formatCode="#,##0.000;&quot;△ &quot;#,##0.000"/>
    <numFmt numFmtId="219" formatCode="0.000_ "/>
    <numFmt numFmtId="220" formatCode="0.00000%"/>
  </numFmts>
  <fonts count="247">
    <font>
      <sz val="10"/>
      <name val="ＭＳ ゴシック"/>
      <family val="3"/>
      <charset val="128"/>
    </font>
    <font>
      <sz val="11"/>
      <color theme="1"/>
      <name val="メイリオ"/>
      <family val="2"/>
      <charset val="128"/>
      <scheme val="minor"/>
    </font>
    <font>
      <sz val="11"/>
      <color theme="1"/>
      <name val="メイリオ"/>
      <family val="2"/>
      <charset val="128"/>
      <scheme val="minor"/>
    </font>
    <font>
      <sz val="11"/>
      <color theme="1"/>
      <name val="メイリオ"/>
      <family val="2"/>
      <charset val="128"/>
      <scheme val="minor"/>
    </font>
    <font>
      <sz val="11"/>
      <color theme="1"/>
      <name val="メイリオ"/>
      <family val="2"/>
      <charset val="128"/>
      <scheme val="minor"/>
    </font>
    <font>
      <sz val="11"/>
      <color theme="1"/>
      <name val="メイリオ"/>
      <family val="2"/>
      <charset val="128"/>
      <scheme val="minor"/>
    </font>
    <font>
      <sz val="11"/>
      <color theme="1"/>
      <name val="メイリオ"/>
      <family val="2"/>
      <charset val="128"/>
      <scheme val="minor"/>
    </font>
    <font>
      <sz val="10"/>
      <name val="ＭＳ ゴシック"/>
      <family val="3"/>
      <charset val="128"/>
    </font>
    <font>
      <i/>
      <sz val="14"/>
      <name val="中ゴシック体"/>
      <family val="3"/>
      <charset val="128"/>
    </font>
    <font>
      <sz val="11"/>
      <name val="ＭＳ Ｐゴシック"/>
      <family val="3"/>
      <charset val="128"/>
    </font>
    <font>
      <sz val="10"/>
      <name val="中ゴシックＢＢＢ"/>
      <family val="3"/>
      <charset val="128"/>
    </font>
    <font>
      <sz val="10"/>
      <name val="L じゅん 101"/>
      <family val="3"/>
      <charset val="128"/>
    </font>
    <font>
      <u/>
      <sz val="10"/>
      <color indexed="12"/>
      <name val="細明朝体"/>
      <family val="3"/>
      <charset val="128"/>
    </font>
    <font>
      <sz val="10"/>
      <name val="中ゴシック体"/>
      <family val="3"/>
      <charset val="128"/>
    </font>
    <font>
      <sz val="8"/>
      <name val="ＭＳ 明朝"/>
      <family val="1"/>
      <charset val="128"/>
    </font>
    <font>
      <sz val="8"/>
      <name val="ＭＳ 明朝"/>
      <family val="1"/>
      <charset val="128"/>
    </font>
    <font>
      <i/>
      <sz val="14"/>
      <name val="ＭＳ Ｐゴシック"/>
      <family val="3"/>
      <charset val="128"/>
    </font>
    <font>
      <sz val="6"/>
      <name val="ＭＳ Ｐゴシック"/>
      <family val="3"/>
      <charset val="128"/>
    </font>
    <font>
      <sz val="10"/>
      <name val="ＭＳ Ｐ明朝"/>
      <family val="1"/>
      <charset val="128"/>
    </font>
    <font>
      <sz val="9"/>
      <name val="ＭＳ Ｐゴシック"/>
      <family val="3"/>
      <charset val="128"/>
    </font>
    <font>
      <sz val="10"/>
      <name val="ＭＳ Ｐゴシック"/>
      <family val="3"/>
      <charset val="128"/>
    </font>
    <font>
      <b/>
      <i/>
      <sz val="9"/>
      <name val="ＭＳ Ｐ明朝"/>
      <family val="1"/>
      <charset val="128"/>
    </font>
    <font>
      <sz val="14"/>
      <name val="ＭＳ Ｐゴシック"/>
      <family val="3"/>
      <charset val="128"/>
    </font>
    <font>
      <sz val="9"/>
      <name val="ＭＳ Ｐ明朝"/>
      <family val="1"/>
      <charset val="128"/>
    </font>
    <font>
      <sz val="22"/>
      <name val="ＭＳ Ｐゴシック"/>
      <family val="3"/>
      <charset val="128"/>
    </font>
    <font>
      <b/>
      <sz val="10"/>
      <name val="ＭＳ Ｐゴシック"/>
      <family val="3"/>
      <charset val="128"/>
    </font>
    <font>
      <sz val="24"/>
      <name val="ＭＳ Ｐゴシック"/>
      <family val="3"/>
      <charset val="128"/>
    </font>
    <font>
      <sz val="8"/>
      <name val="ＭＳ ゴシック"/>
      <family val="3"/>
      <charset val="128"/>
    </font>
    <font>
      <b/>
      <sz val="11"/>
      <name val="ＭＳ Ｐゴシック"/>
      <family val="3"/>
      <charset val="128"/>
    </font>
    <font>
      <sz val="6"/>
      <name val="ＭＳ ゴシック"/>
      <family val="3"/>
      <charset val="128"/>
    </font>
    <font>
      <i/>
      <sz val="24"/>
      <name val="Times New Roman"/>
      <family val="1"/>
    </font>
    <font>
      <i/>
      <u/>
      <sz val="14"/>
      <color indexed="12"/>
      <name val="Times New Roman"/>
      <family val="1"/>
    </font>
    <font>
      <b/>
      <sz val="16"/>
      <name val="ＭＳ Ｐゴシック"/>
      <family val="3"/>
      <charset val="128"/>
    </font>
    <font>
      <b/>
      <sz val="36"/>
      <name val="Georgia"/>
      <family val="1"/>
    </font>
    <font>
      <sz val="8"/>
      <name val="ＭＳ Ｐゴシック"/>
      <family val="3"/>
      <charset val="128"/>
    </font>
    <font>
      <sz val="9"/>
      <name val="ＭＳ ゴシック"/>
      <family val="3"/>
      <charset val="128"/>
    </font>
    <font>
      <sz val="12"/>
      <name val="ＭＳ ゴシック"/>
      <family val="3"/>
      <charset val="128"/>
    </font>
    <font>
      <sz val="10"/>
      <name val="MS UI Gothic"/>
      <family val="3"/>
      <charset val="128"/>
    </font>
    <font>
      <b/>
      <sz val="10"/>
      <name val="ＭＳ Ｐ明朝"/>
      <family val="1"/>
      <charset val="128"/>
    </font>
    <font>
      <b/>
      <sz val="10"/>
      <name val="ＭＳ ゴシック"/>
      <family val="3"/>
      <charset val="128"/>
    </font>
    <font>
      <b/>
      <sz val="10"/>
      <color indexed="10"/>
      <name val="ＭＳ ゴシック"/>
      <family val="3"/>
      <charset val="128"/>
    </font>
    <font>
      <sz val="7"/>
      <name val="ＭＳ Ｐゴシック"/>
      <family val="3"/>
      <charset val="128"/>
    </font>
    <font>
      <sz val="11"/>
      <color indexed="8"/>
      <name val="ＭＳ Ｐゴシック"/>
      <family val="3"/>
      <charset val="128"/>
    </font>
    <font>
      <sz val="10"/>
      <name val="Arial"/>
      <family val="2"/>
    </font>
    <font>
      <sz val="8"/>
      <name val="Arial"/>
      <family val="2"/>
    </font>
    <font>
      <b/>
      <sz val="12"/>
      <name val="Arial"/>
      <family val="2"/>
    </font>
    <font>
      <sz val="11"/>
      <name val="明朝"/>
      <family val="1"/>
      <charset val="128"/>
    </font>
    <font>
      <sz val="10"/>
      <name val="MS Sans Serif"/>
      <family val="2"/>
    </font>
    <font>
      <sz val="9"/>
      <name val="ＭＳ 明朝"/>
      <family val="1"/>
      <charset val="128"/>
    </font>
    <font>
      <sz val="11"/>
      <name val="ＭＳ ゴシック"/>
      <family val="3"/>
      <charset val="128"/>
    </font>
    <font>
      <sz val="10"/>
      <name val="System"/>
      <family val="2"/>
    </font>
    <font>
      <strike/>
      <sz val="10"/>
      <name val="ＭＳ ゴシック"/>
      <family val="3"/>
      <charset val="128"/>
    </font>
    <font>
      <sz val="9"/>
      <color indexed="81"/>
      <name val="ＭＳ Ｐゴシック"/>
      <family val="3"/>
      <charset val="128"/>
    </font>
    <font>
      <strike/>
      <sz val="9"/>
      <name val="ＭＳ Ｐ明朝"/>
      <family val="1"/>
      <charset val="128"/>
    </font>
    <font>
      <sz val="9"/>
      <color indexed="10"/>
      <name val="ＭＳ Ｐ明朝"/>
      <family val="1"/>
      <charset val="128"/>
    </font>
    <font>
      <sz val="10"/>
      <color indexed="10"/>
      <name val="ＭＳ ゴシック"/>
      <family val="3"/>
      <charset val="128"/>
    </font>
    <font>
      <sz val="10"/>
      <color rgb="FFFF0000"/>
      <name val="ＭＳ ゴシック"/>
      <family val="3"/>
      <charset val="128"/>
    </font>
    <font>
      <i/>
      <sz val="14"/>
      <name val="メイリオ"/>
      <family val="3"/>
      <charset val="128"/>
      <scheme val="minor"/>
    </font>
    <font>
      <b/>
      <sz val="9"/>
      <color indexed="81"/>
      <name val="MS P ゴシック"/>
      <family val="3"/>
      <charset val="128"/>
    </font>
    <font>
      <sz val="11"/>
      <name val="ＭＳ 明朝"/>
      <family val="1"/>
      <charset val="128"/>
    </font>
    <font>
      <sz val="11"/>
      <color indexed="9"/>
      <name val="ＭＳ Ｐゴシック"/>
      <family val="3"/>
      <charset val="128"/>
    </font>
    <font>
      <sz val="18"/>
      <color indexed="54"/>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4"/>
      <name val="ＭＳ Ｐゴシック"/>
      <family val="3"/>
      <charset val="128"/>
    </font>
    <font>
      <b/>
      <sz val="13"/>
      <color indexed="54"/>
      <name val="ＭＳ Ｐゴシック"/>
      <family val="3"/>
      <charset val="128"/>
    </font>
    <font>
      <b/>
      <sz val="11"/>
      <color indexed="54"/>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FF0000"/>
      <name val="ＭＳ Ｐ明朝"/>
      <family val="1"/>
      <charset val="128"/>
    </font>
    <font>
      <sz val="11"/>
      <color theme="1"/>
      <name val="メイリオ"/>
      <family val="2"/>
      <charset val="128"/>
      <scheme val="minor"/>
    </font>
    <font>
      <u/>
      <sz val="7.65"/>
      <color indexed="12"/>
      <name val="ＭＳ Ｐゴシック"/>
      <family val="3"/>
      <charset val="128"/>
    </font>
    <font>
      <b/>
      <sz val="18"/>
      <color indexed="62"/>
      <name val="ＭＳ Ｐゴシック"/>
      <family val="3"/>
      <charset val="128"/>
    </font>
    <font>
      <sz val="11"/>
      <color indexed="19"/>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rgb="FF9C6500"/>
      <name val="メイリオ"/>
      <family val="3"/>
      <charset val="128"/>
      <scheme val="minor"/>
    </font>
    <font>
      <b/>
      <sz val="11"/>
      <color theme="0"/>
      <name val="ＭＳ Ｐゴシック"/>
      <family val="3"/>
      <charset val="128"/>
    </font>
    <font>
      <u/>
      <sz val="11"/>
      <color indexed="12"/>
      <name val="明朝"/>
      <family val="1"/>
      <charset val="128"/>
    </font>
    <font>
      <sz val="18"/>
      <color indexed="57"/>
      <name val="ＭＳ Ｐゴシック"/>
      <family val="3"/>
      <charset val="128"/>
    </font>
    <font>
      <b/>
      <sz val="15"/>
      <color indexed="57"/>
      <name val="ＭＳ Ｐゴシック"/>
      <family val="3"/>
      <charset val="128"/>
    </font>
    <font>
      <b/>
      <sz val="13"/>
      <color indexed="57"/>
      <name val="ＭＳ Ｐゴシック"/>
      <family val="3"/>
      <charset val="128"/>
    </font>
    <font>
      <b/>
      <sz val="11"/>
      <color indexed="57"/>
      <name val="ＭＳ Ｐゴシック"/>
      <family val="3"/>
      <charset val="128"/>
    </font>
    <font>
      <sz val="11"/>
      <color theme="1"/>
      <name val="ＭＳ Ｐゴシック"/>
      <family val="3"/>
      <charset val="128"/>
    </font>
    <font>
      <sz val="11"/>
      <color theme="0"/>
      <name val="ＭＳ Ｐゴシック"/>
      <family val="3"/>
      <charset val="128"/>
    </font>
    <font>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sz val="11"/>
      <color rgb="FFFF00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theme="1"/>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u/>
      <sz val="11"/>
      <color theme="10"/>
      <name val="ＭＳ Ｐゴシック"/>
      <family val="3"/>
      <charset val="128"/>
    </font>
    <font>
      <sz val="9"/>
      <color rgb="FFFF0000"/>
      <name val="ＭＳ Ｐゴシック"/>
      <family val="3"/>
      <charset val="128"/>
    </font>
    <font>
      <b/>
      <sz val="10"/>
      <color rgb="FFFF0000"/>
      <name val="ＭＳ Ｐ明朝"/>
      <family val="1"/>
      <charset val="128"/>
    </font>
    <font>
      <b/>
      <sz val="9"/>
      <name val="ＭＳ Ｐ明朝"/>
      <family val="1"/>
      <charset val="128"/>
    </font>
    <font>
      <b/>
      <sz val="9"/>
      <color rgb="FFFF0000"/>
      <name val="ＭＳ Ｐ明朝"/>
      <family val="1"/>
      <charset val="128"/>
    </font>
    <font>
      <sz val="18"/>
      <color theme="3"/>
      <name val="メイリオ"/>
      <family val="2"/>
      <charset val="128"/>
      <scheme val="major"/>
    </font>
    <font>
      <b/>
      <sz val="15"/>
      <color theme="3"/>
      <name val="メイリオ"/>
      <family val="2"/>
      <charset val="128"/>
      <scheme val="minor"/>
    </font>
    <font>
      <b/>
      <sz val="13"/>
      <color theme="3"/>
      <name val="メイリオ"/>
      <family val="2"/>
      <charset val="128"/>
      <scheme val="minor"/>
    </font>
    <font>
      <b/>
      <sz val="11"/>
      <color theme="3"/>
      <name val="メイリオ"/>
      <family val="2"/>
      <charset val="128"/>
      <scheme val="minor"/>
    </font>
    <font>
      <sz val="11"/>
      <color rgb="FF006100"/>
      <name val="メイリオ"/>
      <family val="2"/>
      <charset val="128"/>
      <scheme val="minor"/>
    </font>
    <font>
      <sz val="11"/>
      <color rgb="FF9C0006"/>
      <name val="メイリオ"/>
      <family val="2"/>
      <charset val="128"/>
      <scheme val="minor"/>
    </font>
    <font>
      <sz val="11"/>
      <color rgb="FF9C6500"/>
      <name val="メイリオ"/>
      <family val="2"/>
      <charset val="128"/>
      <scheme val="minor"/>
    </font>
    <font>
      <sz val="11"/>
      <color rgb="FF3F3F76"/>
      <name val="メイリオ"/>
      <family val="2"/>
      <charset val="128"/>
      <scheme val="minor"/>
    </font>
    <font>
      <b/>
      <sz val="11"/>
      <color rgb="FF3F3F3F"/>
      <name val="メイリオ"/>
      <family val="2"/>
      <charset val="128"/>
      <scheme val="minor"/>
    </font>
    <font>
      <b/>
      <sz val="11"/>
      <color rgb="FFFA7D00"/>
      <name val="メイリオ"/>
      <family val="2"/>
      <charset val="128"/>
      <scheme val="minor"/>
    </font>
    <font>
      <sz val="11"/>
      <color rgb="FFFA7D00"/>
      <name val="メイリオ"/>
      <family val="2"/>
      <charset val="128"/>
      <scheme val="minor"/>
    </font>
    <font>
      <b/>
      <sz val="11"/>
      <color theme="0"/>
      <name val="メイリオ"/>
      <family val="2"/>
      <charset val="128"/>
      <scheme val="minor"/>
    </font>
    <font>
      <sz val="11"/>
      <color rgb="FFFF0000"/>
      <name val="メイリオ"/>
      <family val="2"/>
      <charset val="128"/>
      <scheme val="minor"/>
    </font>
    <font>
      <i/>
      <sz val="11"/>
      <color rgb="FF7F7F7F"/>
      <name val="メイリオ"/>
      <family val="2"/>
      <charset val="128"/>
      <scheme val="minor"/>
    </font>
    <font>
      <b/>
      <sz val="11"/>
      <color theme="1"/>
      <name val="メイリオ"/>
      <family val="2"/>
      <charset val="128"/>
      <scheme val="minor"/>
    </font>
    <font>
      <sz val="11"/>
      <color theme="0"/>
      <name val="メイリオ"/>
      <family val="2"/>
      <charset val="128"/>
      <scheme val="minor"/>
    </font>
    <font>
      <sz val="9"/>
      <name val="Calibri"/>
      <family val="2"/>
    </font>
    <font>
      <sz val="6"/>
      <name val="メイリオ"/>
      <family val="3"/>
      <charset val="128"/>
    </font>
    <font>
      <sz val="7"/>
      <name val="メイリオ"/>
      <family val="3"/>
      <charset val="128"/>
    </font>
    <font>
      <sz val="8"/>
      <name val="メイリオ"/>
      <family val="3"/>
      <charset val="128"/>
    </font>
    <font>
      <sz val="9"/>
      <name val="メイリオ"/>
      <family val="3"/>
      <charset val="128"/>
    </font>
    <font>
      <sz val="8"/>
      <color theme="0"/>
      <name val="メイリオ"/>
      <family val="3"/>
      <charset val="128"/>
    </font>
    <font>
      <sz val="6"/>
      <color theme="0"/>
      <name val="メイリオ"/>
      <family val="3"/>
      <charset val="128"/>
    </font>
    <font>
      <sz val="5"/>
      <color theme="0"/>
      <name val="メイリオ"/>
      <family val="3"/>
      <charset val="128"/>
    </font>
    <font>
      <b/>
      <sz val="9"/>
      <name val="メイリオ"/>
      <family val="3"/>
      <charset val="128"/>
    </font>
    <font>
      <b/>
      <sz val="11"/>
      <name val="メイリオ"/>
      <family val="3"/>
      <charset val="128"/>
    </font>
    <font>
      <sz val="7"/>
      <color theme="0"/>
      <name val="メイリオ"/>
      <family val="3"/>
      <charset val="128"/>
    </font>
    <font>
      <sz val="7"/>
      <color theme="1"/>
      <name val="メイリオ"/>
      <family val="3"/>
      <charset val="128"/>
    </font>
    <font>
      <b/>
      <sz val="8"/>
      <name val="メイリオ"/>
      <family val="3"/>
      <charset val="128"/>
    </font>
    <font>
      <b/>
      <sz val="10"/>
      <name val="メイリオ"/>
      <family val="3"/>
      <charset val="128"/>
    </font>
    <font>
      <sz val="10"/>
      <name val="メイリオ"/>
      <family val="3"/>
      <charset val="128"/>
    </font>
    <font>
      <i/>
      <sz val="10"/>
      <name val="メイリオ"/>
      <family val="3"/>
      <charset val="128"/>
    </font>
    <font>
      <i/>
      <sz val="14"/>
      <name val="メイリオ"/>
      <family val="3"/>
      <charset val="128"/>
    </font>
    <font>
      <b/>
      <i/>
      <sz val="9"/>
      <name val="メイリオ"/>
      <family val="3"/>
      <charset val="128"/>
    </font>
    <font>
      <sz val="11"/>
      <name val="メイリオ"/>
      <family val="3"/>
      <charset val="128"/>
    </font>
    <font>
      <i/>
      <sz val="13"/>
      <name val="メイリオ"/>
      <family val="3"/>
      <charset val="128"/>
    </font>
    <font>
      <sz val="5"/>
      <name val="メイリオ"/>
      <family val="3"/>
      <charset val="128"/>
    </font>
    <font>
      <sz val="12"/>
      <name val="メイリオ"/>
      <family val="3"/>
      <charset val="128"/>
    </font>
    <font>
      <sz val="10"/>
      <color rgb="FF000000"/>
      <name val="ＭＳ ゴシック"/>
      <family val="3"/>
      <charset val="128"/>
    </font>
    <font>
      <sz val="10"/>
      <color theme="1" tint="4.9989318521683403E-2"/>
      <name val="ＭＳ ゴシック"/>
      <family val="3"/>
      <charset val="128"/>
    </font>
    <font>
      <sz val="14"/>
      <color theme="1" tint="4.9989318521683403E-2"/>
      <name val="Arial Black"/>
      <family val="2"/>
    </font>
    <font>
      <sz val="36"/>
      <color theme="1" tint="4.9989318521683403E-2"/>
      <name val="Impact"/>
      <family val="2"/>
    </font>
    <font>
      <b/>
      <sz val="80"/>
      <color theme="1" tint="4.9989318521683403E-2"/>
      <name val="Impact"/>
      <family val="2"/>
    </font>
    <font>
      <sz val="48"/>
      <color theme="1" tint="4.9989318521683403E-2"/>
      <name val="Impact"/>
      <family val="2"/>
    </font>
    <font>
      <i/>
      <sz val="16"/>
      <color theme="1" tint="4.9989318521683403E-2"/>
      <name val="ＭＳ Ｐゴシック"/>
      <family val="3"/>
      <charset val="128"/>
    </font>
    <font>
      <sz val="6"/>
      <color theme="1" tint="4.9989318521683403E-2"/>
      <name val="メイリオ"/>
      <family val="3"/>
      <charset val="128"/>
    </font>
    <font>
      <sz val="9"/>
      <name val="Arial"/>
      <family val="2"/>
    </font>
    <font>
      <sz val="9"/>
      <color theme="0"/>
      <name val="Arial"/>
      <family val="2"/>
    </font>
    <font>
      <sz val="5"/>
      <color theme="0"/>
      <name val="Arial"/>
      <family val="2"/>
    </font>
    <font>
      <sz val="6"/>
      <name val="Arial"/>
      <family val="2"/>
    </font>
    <font>
      <sz val="10"/>
      <name val="メイリオ"/>
      <family val="3"/>
      <charset val="128"/>
      <scheme val="minor"/>
    </font>
    <font>
      <sz val="10"/>
      <color rgb="FFFF0000"/>
      <name val="メイリオ"/>
      <family val="3"/>
      <charset val="128"/>
      <scheme val="minor"/>
    </font>
    <font>
      <b/>
      <sz val="9"/>
      <name val="Arial"/>
      <family val="2"/>
    </font>
    <font>
      <sz val="7"/>
      <name val="Arial"/>
      <family val="2"/>
    </font>
    <font>
      <sz val="7"/>
      <name val="Arial"/>
      <family val="3"/>
      <charset val="128"/>
    </font>
    <font>
      <sz val="7"/>
      <color theme="0"/>
      <name val="Arial"/>
      <family val="2"/>
    </font>
    <font>
      <sz val="6"/>
      <color theme="1" tint="4.9989318521683403E-2"/>
      <name val="Arial"/>
      <family val="2"/>
    </font>
    <font>
      <sz val="5"/>
      <name val="Arial"/>
      <family val="2"/>
    </font>
    <font>
      <sz val="4"/>
      <color theme="0"/>
      <name val="Arial"/>
      <family val="2"/>
    </font>
    <font>
      <i/>
      <sz val="13"/>
      <name val="Arial"/>
      <family val="2"/>
    </font>
    <font>
      <i/>
      <sz val="14"/>
      <name val="Arial"/>
      <family val="2"/>
    </font>
    <font>
      <sz val="6"/>
      <color theme="0"/>
      <name val="Arial"/>
      <family val="2"/>
    </font>
    <font>
      <b/>
      <sz val="10"/>
      <color indexed="10"/>
      <name val="Arial"/>
      <family val="2"/>
    </font>
    <font>
      <sz val="10"/>
      <color rgb="FFFF0000"/>
      <name val="Arial"/>
      <family val="2"/>
    </font>
    <font>
      <u/>
      <sz val="10"/>
      <color indexed="12"/>
      <name val="Arial"/>
      <family val="2"/>
    </font>
    <font>
      <sz val="7"/>
      <name val="ＭＳ ゴシック"/>
      <family val="3"/>
      <charset val="128"/>
    </font>
    <font>
      <sz val="7"/>
      <name val="メイリオ"/>
      <family val="3"/>
      <charset val="128"/>
      <scheme val="minor"/>
    </font>
    <font>
      <sz val="6"/>
      <name val="メイリオ"/>
      <family val="3"/>
      <charset val="128"/>
      <scheme val="minor"/>
    </font>
    <font>
      <sz val="6"/>
      <name val="メイリオ"/>
      <family val="3"/>
      <charset val="128"/>
      <scheme val="major"/>
    </font>
    <font>
      <sz val="6"/>
      <name val="Arial"/>
      <family val="3"/>
      <charset val="128"/>
    </font>
    <font>
      <i/>
      <sz val="12"/>
      <name val="Arial"/>
      <family val="2"/>
    </font>
    <font>
      <sz val="8"/>
      <color theme="0"/>
      <name val="Arial"/>
      <family val="2"/>
    </font>
    <font>
      <sz val="8"/>
      <color theme="0"/>
      <name val="Arial"/>
      <family val="3"/>
      <charset val="128"/>
    </font>
    <font>
      <sz val="10"/>
      <color theme="0"/>
      <name val="Arial"/>
      <family val="2"/>
    </font>
    <font>
      <sz val="7"/>
      <color theme="1"/>
      <name val="Arial"/>
      <family val="2"/>
    </font>
    <font>
      <sz val="6"/>
      <color theme="1"/>
      <name val="Arial"/>
      <family val="2"/>
    </font>
    <font>
      <sz val="10"/>
      <color indexed="8"/>
      <name val="Arial"/>
      <family val="2"/>
    </font>
    <font>
      <b/>
      <sz val="10"/>
      <name val="Arial"/>
      <family val="2"/>
    </font>
    <font>
      <sz val="12"/>
      <name val="Arial"/>
      <family val="2"/>
    </font>
    <font>
      <sz val="11"/>
      <name val="Arial"/>
      <family val="2"/>
    </font>
    <font>
      <sz val="10"/>
      <name val="Arial"/>
      <family val="3"/>
      <charset val="128"/>
    </font>
    <font>
      <b/>
      <sz val="8"/>
      <name val="Arial"/>
      <family val="2"/>
    </font>
    <font>
      <sz val="10"/>
      <name val="ＭＳ Ｐゴシック"/>
      <family val="2"/>
      <charset val="128"/>
    </font>
    <font>
      <i/>
      <sz val="9"/>
      <name val="Arial"/>
      <family val="2"/>
    </font>
    <font>
      <b/>
      <sz val="11"/>
      <name val="Arial"/>
      <family val="2"/>
    </font>
    <font>
      <sz val="12"/>
      <color rgb="FFFF0000"/>
      <name val="Arial"/>
      <family val="2"/>
    </font>
    <font>
      <sz val="6"/>
      <color theme="0"/>
      <name val="メイリオ"/>
      <family val="3"/>
      <charset val="128"/>
      <scheme val="minor"/>
    </font>
    <font>
      <u/>
      <sz val="10"/>
      <color indexed="12"/>
      <name val="メイリオ"/>
      <family val="3"/>
      <charset val="128"/>
    </font>
    <font>
      <sz val="12"/>
      <color rgb="FFFF0000"/>
      <name val="メイリオ"/>
      <family val="3"/>
      <charset val="128"/>
    </font>
    <font>
      <sz val="5"/>
      <color theme="0"/>
      <name val="Arial"/>
      <family val="3"/>
      <charset val="128"/>
    </font>
    <font>
      <sz val="10"/>
      <color indexed="9"/>
      <name val="Arial"/>
      <family val="2"/>
    </font>
    <font>
      <sz val="14"/>
      <name val="Arial"/>
      <family val="2"/>
    </font>
    <font>
      <b/>
      <sz val="10"/>
      <color rgb="FFFF0000"/>
      <name val="Arial"/>
      <family val="2"/>
    </font>
    <font>
      <sz val="6"/>
      <color theme="0"/>
      <name val="Arial"/>
      <family val="3"/>
      <charset val="128"/>
    </font>
    <font>
      <sz val="11"/>
      <color rgb="FFFF0000"/>
      <name val="Arial"/>
      <family val="2"/>
    </font>
    <font>
      <sz val="8"/>
      <name val="Arial"/>
      <family val="3"/>
      <charset val="128"/>
    </font>
    <font>
      <sz val="14"/>
      <color rgb="FFFF0000"/>
      <name val="Arial"/>
      <family val="2"/>
    </font>
    <font>
      <b/>
      <sz val="14"/>
      <color rgb="FFFF0000"/>
      <name val="Arial"/>
      <family val="2"/>
    </font>
    <font>
      <b/>
      <sz val="12"/>
      <color rgb="FFFF0000"/>
      <name val="Arial"/>
      <family val="2"/>
    </font>
    <font>
      <sz val="8"/>
      <name val="Arial"/>
      <family val="3"/>
    </font>
    <font>
      <b/>
      <i/>
      <sz val="9"/>
      <name val="Arial"/>
      <family val="2"/>
    </font>
    <font>
      <b/>
      <sz val="9.5"/>
      <name val="Arial"/>
      <family val="2"/>
    </font>
    <font>
      <b/>
      <sz val="9.5"/>
      <name val="メイリオ"/>
      <family val="3"/>
      <charset val="128"/>
    </font>
    <font>
      <sz val="9.5"/>
      <name val="Arial"/>
      <family val="2"/>
    </font>
    <font>
      <sz val="9.5"/>
      <name val="メイリオ"/>
      <family val="3"/>
      <charset val="128"/>
    </font>
    <font>
      <sz val="7"/>
      <name val="メイリオ"/>
      <family val="3"/>
      <charset val="128"/>
      <scheme val="major"/>
    </font>
    <font>
      <sz val="9"/>
      <name val="Arial"/>
      <family val="3"/>
      <charset val="128"/>
    </font>
    <font>
      <sz val="10"/>
      <color rgb="FFFF0000"/>
      <name val="メイリオ"/>
      <family val="3"/>
      <charset val="128"/>
    </font>
    <font>
      <sz val="8"/>
      <name val="メイリオ"/>
      <family val="3"/>
      <charset val="128"/>
      <scheme val="minor"/>
    </font>
    <font>
      <b/>
      <sz val="8"/>
      <color rgb="FFFF0000"/>
      <name val="Arial"/>
      <family val="2"/>
    </font>
    <font>
      <b/>
      <sz val="10"/>
      <color rgb="FFFF0000"/>
      <name val="メイリオ"/>
      <family val="3"/>
      <charset val="128"/>
    </font>
    <font>
      <sz val="8"/>
      <name val="メイリオ"/>
      <family val="2"/>
      <charset val="128"/>
    </font>
    <font>
      <sz val="7"/>
      <name val="Yu Gothic"/>
      <family val="2"/>
      <charset val="128"/>
    </font>
    <font>
      <sz val="8"/>
      <name val="メイリオ"/>
      <family val="3"/>
      <charset val="128"/>
      <scheme val="major"/>
    </font>
    <font>
      <sz val="10"/>
      <name val="メイリオ"/>
      <family val="3"/>
      <charset val="128"/>
      <scheme val="major"/>
    </font>
    <font>
      <sz val="9"/>
      <name val="メイリオ"/>
      <family val="3"/>
      <charset val="128"/>
      <scheme val="major"/>
    </font>
    <font>
      <b/>
      <sz val="12"/>
      <name val="メイリオ"/>
      <family val="3"/>
      <charset val="128"/>
    </font>
    <font>
      <sz val="11"/>
      <name val="メイリオ"/>
      <family val="3"/>
      <charset val="128"/>
      <scheme val="major"/>
    </font>
    <font>
      <b/>
      <sz val="12"/>
      <name val="メイリオ"/>
      <family val="3"/>
      <charset val="128"/>
      <scheme val="major"/>
    </font>
    <font>
      <sz val="9"/>
      <color rgb="FF000000"/>
      <name val="メイリオ"/>
      <family val="3"/>
      <charset val="128"/>
      <scheme val="major"/>
    </font>
    <font>
      <sz val="10"/>
      <color theme="0" tint="-0.34998626667073579"/>
      <name val="Arial"/>
      <family val="2"/>
    </font>
    <font>
      <sz val="6"/>
      <color theme="0" tint="-0.34998626667073579"/>
      <name val="メイリオ"/>
      <family val="2"/>
      <charset val="128"/>
      <scheme val="minor"/>
    </font>
    <font>
      <sz val="6"/>
      <name val="メイリオ"/>
      <family val="2"/>
      <charset val="128"/>
      <scheme val="minor"/>
    </font>
    <font>
      <sz val="6"/>
      <color theme="0" tint="-0.34998626667073579"/>
      <name val="メイリオ"/>
      <family val="3"/>
      <charset val="128"/>
      <scheme val="minor"/>
    </font>
    <font>
      <u/>
      <sz val="10"/>
      <color indexed="12"/>
      <name val="ＭＳ Ｐゴシック"/>
      <family val="3"/>
      <charset val="128"/>
    </font>
    <font>
      <sz val="11"/>
      <color theme="9" tint="0.39997558519241921"/>
      <name val="ＭＳ Ｐ明朝"/>
      <family val="1"/>
      <charset val="128"/>
    </font>
    <font>
      <sz val="16"/>
      <color theme="9" tint="0.39997558519241921"/>
      <name val="ＭＳ Ｐ明朝"/>
      <family val="1"/>
      <charset val="128"/>
    </font>
    <font>
      <u/>
      <sz val="11"/>
      <color theme="10"/>
      <name val="メイリオ"/>
      <family val="2"/>
      <charset val="128"/>
      <scheme val="minor"/>
    </font>
    <font>
      <sz val="9"/>
      <color indexed="81"/>
      <name val="MS P ゴシック"/>
      <family val="3"/>
      <charset val="128"/>
    </font>
    <font>
      <b/>
      <sz val="10"/>
      <color rgb="FFFF0000"/>
      <name val="ＭＳ Ｐゴシック"/>
      <family val="3"/>
      <charset val="128"/>
    </font>
  </fonts>
  <fills count="73">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indexed="27"/>
      </patternFill>
    </fill>
    <fill>
      <patternFill patternType="solid">
        <fgColor indexed="47"/>
      </patternFill>
    </fill>
    <fill>
      <patternFill patternType="solid">
        <fgColor indexed="9"/>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9"/>
      </patternFill>
    </fill>
    <fill>
      <patternFill patternType="solid">
        <fgColor indexed="46"/>
      </patternFill>
    </fill>
    <fill>
      <patternFill patternType="solid">
        <fgColor indexed="11"/>
      </patternFill>
    </fill>
    <fill>
      <patternFill patternType="solid">
        <fgColor indexed="30"/>
      </patternFill>
    </fill>
    <fill>
      <patternFill patternType="solid">
        <fgColor indexed="36"/>
      </patternFill>
    </fill>
    <fill>
      <patternFill patternType="solid">
        <fgColor indexed="52"/>
      </patternFill>
    </fill>
    <fill>
      <patternFill patternType="solid">
        <fgColor indexed="56"/>
      </patternFill>
    </fill>
    <fill>
      <patternFill patternType="solid">
        <fgColor indexed="10"/>
      </patternFill>
    </fill>
    <fill>
      <patternFill patternType="solid">
        <fgColor indexed="54"/>
      </patternFill>
    </fill>
    <fill>
      <patternFill patternType="solid">
        <fgColor indexed="50"/>
      </patternFill>
    </fill>
    <fill>
      <patternFill patternType="solid">
        <fgColor indexed="13"/>
      </patternFill>
    </fill>
    <fill>
      <patternFill patternType="solid">
        <fgColor rgb="FF004098"/>
        <bgColor indexed="64"/>
      </patternFill>
    </fill>
    <fill>
      <patternFill patternType="solid">
        <fgColor rgb="FFF3F4F4"/>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rgb="FFDCE6F1"/>
        <bgColor indexed="64"/>
      </patternFill>
    </fill>
    <fill>
      <patternFill patternType="solid">
        <fgColor rgb="FFFFFF00"/>
        <bgColor indexed="64"/>
      </patternFill>
    </fill>
    <fill>
      <patternFill patternType="solid">
        <fgColor theme="0" tint="-0.34998626667073579"/>
        <bgColor indexed="64"/>
      </patternFill>
    </fill>
  </fills>
  <borders count="35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thin">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double">
        <color indexed="64"/>
      </bottom>
      <diagonal/>
    </border>
    <border>
      <left style="hair">
        <color indexed="64"/>
      </left>
      <right style="medium">
        <color indexed="64"/>
      </right>
      <top style="medium">
        <color indexed="64"/>
      </top>
      <bottom style="double">
        <color indexed="64"/>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top style="double">
        <color indexed="64"/>
      </top>
      <bottom style="thin">
        <color indexed="64"/>
      </bottom>
      <diagonal/>
    </border>
    <border>
      <left style="medium">
        <color indexed="64"/>
      </left>
      <right/>
      <top style="medium">
        <color indexed="64"/>
      </top>
      <bottom style="double">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diagonal/>
    </border>
    <border>
      <left style="medium">
        <color indexed="64"/>
      </left>
      <right/>
      <top style="double">
        <color indexed="64"/>
      </top>
      <bottom/>
      <diagonal/>
    </border>
    <border>
      <left style="hair">
        <color indexed="64"/>
      </left>
      <right style="medium">
        <color indexed="64"/>
      </right>
      <top style="double">
        <color indexed="64"/>
      </top>
      <bottom/>
      <diagonal/>
    </border>
    <border>
      <left style="thin">
        <color indexed="64"/>
      </left>
      <right style="hair">
        <color indexed="64"/>
      </right>
      <top style="thin">
        <color indexed="64"/>
      </top>
      <bottom/>
      <diagonal/>
    </border>
    <border>
      <left/>
      <right style="thin">
        <color indexed="64"/>
      </right>
      <top/>
      <bottom/>
      <diagonal/>
    </border>
    <border>
      <left style="medium">
        <color indexed="64"/>
      </left>
      <right style="medium">
        <color indexed="64"/>
      </right>
      <top/>
      <bottom/>
      <diagonal/>
    </border>
    <border>
      <left style="hair">
        <color indexed="64"/>
      </left>
      <right style="medium">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bottom style="thin">
        <color indexed="64"/>
      </bottom>
      <diagonal/>
    </border>
    <border>
      <left style="hair">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medium">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style="thin">
        <color indexed="64"/>
      </top>
      <bottom style="medium">
        <color indexed="64"/>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hair">
        <color indexed="64"/>
      </left>
      <right style="medium">
        <color indexed="64"/>
      </right>
      <top style="thin">
        <color indexed="64"/>
      </top>
      <bottom style="double">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style="hair">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right/>
      <top style="hair">
        <color indexed="64"/>
      </top>
      <bottom/>
      <diagonal/>
    </border>
    <border>
      <left style="medium">
        <color indexed="64"/>
      </left>
      <right style="medium">
        <color indexed="64"/>
      </right>
      <top style="thin">
        <color indexed="64"/>
      </top>
      <bottom/>
      <diagonal/>
    </border>
    <border>
      <left/>
      <right/>
      <top style="double">
        <color indexed="64"/>
      </top>
      <bottom style="thin">
        <color indexed="64"/>
      </bottom>
      <diagonal/>
    </border>
    <border>
      <left style="medium">
        <color indexed="64"/>
      </left>
      <right/>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hair">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hair">
        <color indexed="64"/>
      </left>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thin">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hair">
        <color indexed="64"/>
      </left>
      <right style="medium">
        <color indexed="64"/>
      </right>
      <top/>
      <bottom style="hair">
        <color indexed="64"/>
      </bottom>
      <diagonal/>
    </border>
    <border>
      <left/>
      <right style="medium">
        <color indexed="64"/>
      </right>
      <top style="medium">
        <color indexed="64"/>
      </top>
      <bottom style="double">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double">
        <color indexed="64"/>
      </top>
      <bottom/>
      <diagonal/>
    </border>
    <border>
      <left style="hair">
        <color indexed="64"/>
      </left>
      <right style="thin">
        <color indexed="64"/>
      </right>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double">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style="thin">
        <color indexed="64"/>
      </right>
      <top/>
      <bottom/>
      <diagonal/>
    </border>
    <border>
      <left/>
      <right style="medium">
        <color indexed="64"/>
      </right>
      <top/>
      <bottom style="double">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hair">
        <color indexed="64"/>
      </top>
      <bottom/>
      <diagonal/>
    </border>
    <border>
      <left style="thin">
        <color indexed="64"/>
      </left>
      <right/>
      <top/>
      <bottom style="double">
        <color indexed="64"/>
      </bottom>
      <diagonal/>
    </border>
    <border>
      <left/>
      <right/>
      <top style="thin">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style="double">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right style="medium">
        <color indexed="64"/>
      </right>
      <top style="thin">
        <color indexed="64"/>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style="thin">
        <color indexed="64"/>
      </left>
      <right style="hair">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thin">
        <color indexed="64"/>
      </left>
      <right style="medium">
        <color indexed="64"/>
      </right>
      <top/>
      <bottom style="hair">
        <color indexed="64"/>
      </bottom>
      <diagonal/>
    </border>
    <border>
      <left style="hair">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style="hair">
        <color indexed="64"/>
      </left>
      <right style="medium">
        <color indexed="64"/>
      </right>
      <top style="double">
        <color indexed="64"/>
      </top>
      <bottom style="double">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double">
        <color indexed="64"/>
      </top>
      <bottom style="hair">
        <color indexed="64"/>
      </bottom>
      <diagonal/>
    </border>
    <border>
      <left style="medium">
        <color indexed="64"/>
      </left>
      <right style="hair">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hair">
        <color indexed="64"/>
      </right>
      <top style="medium">
        <color indexed="64"/>
      </top>
      <bottom/>
      <diagonal/>
    </border>
    <border>
      <left style="medium">
        <color indexed="64"/>
      </left>
      <right/>
      <top/>
      <bottom style="double">
        <color indexed="64"/>
      </bottom>
      <diagonal/>
    </border>
    <border>
      <left style="medium">
        <color indexed="64"/>
      </left>
      <right/>
      <top style="medium">
        <color indexed="64"/>
      </top>
      <bottom/>
      <diagonal/>
    </border>
    <border>
      <left style="medium">
        <color indexed="64"/>
      </left>
      <right style="medium">
        <color indexed="64"/>
      </right>
      <top/>
      <bottom style="double">
        <color indexed="64"/>
      </bottom>
      <diagonal/>
    </border>
    <border diagonalDown="1">
      <left style="thin">
        <color indexed="64"/>
      </left>
      <right style="thin">
        <color indexed="64"/>
      </right>
      <top/>
      <bottom style="double">
        <color indexed="64"/>
      </bottom>
      <diagonal style="thin">
        <color indexed="64"/>
      </diagonal>
    </border>
    <border>
      <left style="medium">
        <color indexed="64"/>
      </left>
      <right/>
      <top/>
      <bottom style="hair">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medium">
        <color indexed="64"/>
      </right>
      <top style="double">
        <color indexed="64"/>
      </top>
      <bottom/>
      <diagonal/>
    </border>
    <border diagonalDown="1">
      <left style="thin">
        <color indexed="64"/>
      </left>
      <right/>
      <top style="thin">
        <color indexed="64"/>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double">
        <color indexed="64"/>
      </bottom>
      <diagonal style="thin">
        <color indexed="64"/>
      </diagonal>
    </border>
    <border>
      <left style="thin">
        <color indexed="64"/>
      </left>
      <right style="medium">
        <color indexed="64"/>
      </right>
      <top style="double">
        <color indexed="64"/>
      </top>
      <bottom style="double">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10"/>
      </bottom>
      <diagonal/>
    </border>
    <border>
      <left/>
      <right/>
      <top/>
      <bottom style="thick">
        <color indexed="56"/>
      </bottom>
      <diagonal/>
    </border>
    <border>
      <left/>
      <right/>
      <top/>
      <bottom style="thick">
        <color indexed="62"/>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bottom style="medium">
        <color indexed="30"/>
      </bottom>
      <diagonal/>
    </border>
    <border>
      <left/>
      <right/>
      <top style="thin">
        <color indexed="56"/>
      </top>
      <bottom style="double">
        <color indexed="56"/>
      </bottom>
      <diagonal/>
    </border>
    <border>
      <left/>
      <right/>
      <top style="thin">
        <color indexed="62"/>
      </top>
      <bottom style="double">
        <color indexed="6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thin">
        <color indexed="64"/>
      </bottom>
      <diagonal/>
    </border>
    <border>
      <left style="thin">
        <color theme="0"/>
      </left>
      <right/>
      <top/>
      <bottom style="thin">
        <color indexed="64"/>
      </bottom>
      <diagonal/>
    </border>
    <border>
      <left style="thin">
        <color theme="0"/>
      </left>
      <right/>
      <top style="thin">
        <color auto="1"/>
      </top>
      <bottom/>
      <diagonal/>
    </border>
    <border>
      <left style="thin">
        <color theme="0"/>
      </left>
      <right style="thin">
        <color theme="0"/>
      </right>
      <top style="thin">
        <color theme="0"/>
      </top>
      <bottom style="thin">
        <color indexed="64"/>
      </bottom>
      <diagonal/>
    </border>
    <border>
      <left/>
      <right style="thin">
        <color theme="0"/>
      </right>
      <top style="thin">
        <color theme="0"/>
      </top>
      <bottom style="thin">
        <color indexed="64"/>
      </bottom>
      <diagonal/>
    </border>
    <border>
      <left style="medium">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style="thin">
        <color indexed="64"/>
      </bottom>
      <diagonal/>
    </border>
    <border diagonalDown="1">
      <left style="thin">
        <color indexed="64"/>
      </left>
      <right style="thin">
        <color indexed="64"/>
      </right>
      <top/>
      <bottom/>
      <diagonal style="thin">
        <color indexed="64"/>
      </diagonal>
    </border>
    <border>
      <left/>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thin">
        <color theme="0"/>
      </left>
      <right style="thin">
        <color rgb="FF004098"/>
      </right>
      <top/>
      <bottom style="thin">
        <color indexed="64"/>
      </bottom>
      <diagonal/>
    </border>
    <border>
      <left style="thin">
        <color theme="0"/>
      </left>
      <right style="thin">
        <color rgb="FF004098"/>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indexed="64"/>
      </top>
      <bottom style="thin">
        <color theme="0"/>
      </bottom>
      <diagonal/>
    </border>
    <border>
      <left/>
      <right/>
      <top style="thin">
        <color theme="0"/>
      </top>
      <bottom style="thin">
        <color theme="0"/>
      </bottom>
      <diagonal/>
    </border>
    <border>
      <left/>
      <right/>
      <top style="thin">
        <color theme="0"/>
      </top>
      <bottom style="thin">
        <color indexed="64"/>
      </bottom>
      <diagonal/>
    </border>
    <border>
      <left style="thin">
        <color indexed="64"/>
      </left>
      <right/>
      <top/>
      <bottom style="thin">
        <color theme="0"/>
      </bottom>
      <diagonal/>
    </border>
    <border>
      <left/>
      <right style="thin">
        <color indexed="64"/>
      </right>
      <top/>
      <bottom style="thin">
        <color theme="0"/>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style="thin">
        <color indexed="64"/>
      </top>
      <bottom style="thin">
        <color theme="0" tint="-0.14996795556505021"/>
      </bottom>
      <diagonal/>
    </border>
    <border>
      <left/>
      <right/>
      <top style="thin">
        <color theme="0" tint="-0.14996795556505021"/>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diagonal/>
    </border>
    <border>
      <left style="medium">
        <color indexed="64"/>
      </left>
      <right style="hair">
        <color indexed="64"/>
      </right>
      <top style="double">
        <color indexed="64"/>
      </top>
      <bottom/>
      <diagonal/>
    </border>
    <border>
      <left style="medium">
        <color indexed="64"/>
      </left>
      <right style="hair">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theme="0"/>
      </right>
      <top style="thin">
        <color indexed="64"/>
      </top>
      <bottom/>
      <diagonal/>
    </border>
    <border>
      <left style="hair">
        <color auto="1"/>
      </left>
      <right style="thin">
        <color theme="0"/>
      </right>
      <top style="thin">
        <color indexed="64"/>
      </top>
      <bottom/>
      <diagonal/>
    </border>
    <border>
      <left style="thin">
        <color theme="0"/>
      </left>
      <right style="hair">
        <color auto="1"/>
      </right>
      <top style="thin">
        <color indexed="64"/>
      </top>
      <bottom/>
      <diagonal/>
    </border>
    <border>
      <left style="hair">
        <color auto="1"/>
      </left>
      <right style="thin">
        <color theme="0"/>
      </right>
      <top/>
      <bottom style="thin">
        <color indexed="64"/>
      </bottom>
      <diagonal/>
    </border>
    <border>
      <left style="thin">
        <color theme="0"/>
      </left>
      <right style="hair">
        <color auto="1"/>
      </right>
      <top/>
      <bottom style="thin">
        <color indexed="64"/>
      </bottom>
      <diagonal/>
    </border>
    <border>
      <left style="hair">
        <color auto="1"/>
      </left>
      <right style="thin">
        <color theme="0"/>
      </right>
      <top/>
      <bottom/>
      <diagonal/>
    </border>
    <border>
      <left style="thin">
        <color theme="0"/>
      </left>
      <right style="hair">
        <color auto="1"/>
      </right>
      <top/>
      <bottom/>
      <diagonal/>
    </border>
    <border>
      <left/>
      <right/>
      <top style="thin">
        <color theme="0"/>
      </top>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1087">
    <xf numFmtId="0" fontId="0" fillId="0" borderId="0"/>
    <xf numFmtId="38" fontId="44" fillId="2" borderId="0" applyNumberFormat="0" applyBorder="0" applyAlignment="0" applyProtection="0"/>
    <xf numFmtId="0" fontId="45" fillId="0" borderId="1" applyNumberFormat="0" applyAlignment="0" applyProtection="0">
      <alignment horizontal="left" vertical="center"/>
    </xf>
    <xf numFmtId="0" fontId="45" fillId="0" borderId="2">
      <alignment horizontal="left" vertical="center"/>
    </xf>
    <xf numFmtId="0" fontId="7" fillId="0" borderId="0" applyBorder="0"/>
    <xf numFmtId="10" fontId="44" fillId="3" borderId="3" applyNumberFormat="0" applyBorder="0" applyAlignment="0" applyProtection="0"/>
    <xf numFmtId="0" fontId="7" fillId="0" borderId="0"/>
    <xf numFmtId="0" fontId="46" fillId="0" borderId="0"/>
    <xf numFmtId="204" fontId="9" fillId="0" borderId="0" applyFont="0" applyFill="0" applyBorder="0" applyAlignment="0" applyProtection="0"/>
    <xf numFmtId="205" fontId="9" fillId="0" borderId="0" applyFont="0" applyFill="0" applyBorder="0" applyAlignment="0" applyProtection="0"/>
    <xf numFmtId="206" fontId="36" fillId="0" borderId="0"/>
    <xf numFmtId="0" fontId="43" fillId="0" borderId="0"/>
    <xf numFmtId="10" fontId="43" fillId="0" borderId="0" applyFont="0" applyFill="0" applyBorder="0" applyAlignment="0" applyProtection="0"/>
    <xf numFmtId="0" fontId="47" fillId="0" borderId="0"/>
    <xf numFmtId="207" fontId="9" fillId="0" borderId="0" applyFont="0" applyFill="0" applyBorder="0" applyAlignment="0" applyProtection="0"/>
    <xf numFmtId="208" fontId="9" fillId="0" borderId="0" applyFont="0" applyFill="0" applyBorder="0" applyAlignment="0" applyProtection="0"/>
    <xf numFmtId="49" fontId="48" fillId="0" borderId="0" applyBorder="0">
      <alignment horizontal="left" vertical="center"/>
    </xf>
    <xf numFmtId="0" fontId="8" fillId="0" borderId="0" applyBorder="0">
      <alignment horizontal="left" vertical="center"/>
    </xf>
    <xf numFmtId="9" fontId="7" fillId="0" borderId="0" applyFont="0" applyFill="0" applyBorder="0" applyAlignment="0" applyProtection="0"/>
    <xf numFmtId="9" fontId="9" fillId="0" borderId="0" applyFont="0" applyFill="0" applyBorder="0" applyAlignment="0" applyProtection="0"/>
    <xf numFmtId="9" fontId="49" fillId="0" borderId="0" applyFont="0" applyFill="0" applyBorder="0" applyAlignment="0" applyProtection="0"/>
    <xf numFmtId="9" fontId="9" fillId="0" borderId="0" applyFont="0" applyFill="0" applyBorder="0" applyAlignment="0" applyProtection="0"/>
    <xf numFmtId="0" fontId="12" fillId="0" borderId="0" applyNumberFormat="0" applyFill="0" applyBorder="0" applyAlignment="0" applyProtection="0">
      <alignment vertical="top"/>
      <protection locked="0"/>
    </xf>
    <xf numFmtId="0" fontId="9" fillId="4" borderId="4" applyNumberFormat="0" applyFont="0" applyAlignment="0" applyProtection="0">
      <alignment vertical="center"/>
    </xf>
    <xf numFmtId="209" fontId="43" fillId="0" borderId="0" applyFont="0" applyFill="0" applyBorder="0" applyAlignment="0" applyProtection="0"/>
    <xf numFmtId="210" fontId="43" fillId="0" borderId="0" applyFont="0" applyFill="0" applyBorder="0" applyAlignment="0" applyProtection="0"/>
    <xf numFmtId="38" fontId="7" fillId="0" borderId="0" applyFont="0" applyFill="0" applyBorder="0" applyAlignment="0" applyProtection="0"/>
    <xf numFmtId="38" fontId="9" fillId="0" borderId="0" applyFont="0" applyFill="0" applyBorder="0" applyAlignment="0" applyProtection="0">
      <alignment vertical="center"/>
    </xf>
    <xf numFmtId="38" fontId="43" fillId="0" borderId="0" applyFont="0" applyFill="0" applyBorder="0" applyAlignment="0" applyProtection="0">
      <alignment vertical="center"/>
    </xf>
    <xf numFmtId="182" fontId="10" fillId="0" borderId="0" applyFill="0" applyBorder="0" applyProtection="0">
      <alignment horizontal="right" vertical="center"/>
    </xf>
    <xf numFmtId="0" fontId="13" fillId="0" borderId="0" applyBorder="0">
      <alignment horizontal="left" vertical="center"/>
    </xf>
    <xf numFmtId="8" fontId="9" fillId="0" borderId="0" applyFont="0" applyFill="0" applyBorder="0" applyAlignment="0" applyProtection="0"/>
    <xf numFmtId="6" fontId="9" fillId="0" borderId="0" applyFont="0" applyFill="0" applyBorder="0" applyAlignment="0" applyProtection="0"/>
    <xf numFmtId="181" fontId="11" fillId="0" borderId="5" applyBorder="0">
      <alignment horizontal="center" vertical="center"/>
    </xf>
    <xf numFmtId="0" fontId="50" fillId="0" borderId="0"/>
    <xf numFmtId="0" fontId="50" fillId="0" borderId="0"/>
    <xf numFmtId="0" fontId="9" fillId="0" borderId="0"/>
    <xf numFmtId="0" fontId="9" fillId="0" borderId="0"/>
    <xf numFmtId="0" fontId="50" fillId="0" borderId="0"/>
    <xf numFmtId="0" fontId="50" fillId="0" borderId="0"/>
    <xf numFmtId="0" fontId="50" fillId="0" borderId="0"/>
    <xf numFmtId="0" fontId="43" fillId="0" borderId="0" applyNumberFormat="0" applyFill="0" applyBorder="0" applyAlignment="0" applyProtection="0"/>
    <xf numFmtId="0" fontId="50" fillId="0" borderId="0"/>
    <xf numFmtId="0" fontId="9" fillId="0" borderId="0"/>
    <xf numFmtId="0" fontId="50" fillId="0" borderId="0"/>
    <xf numFmtId="0" fontId="50" fillId="0" borderId="0"/>
    <xf numFmtId="0" fontId="9" fillId="0" borderId="0"/>
    <xf numFmtId="0" fontId="9" fillId="0" borderId="0"/>
    <xf numFmtId="0" fontId="50" fillId="0" borderId="0"/>
    <xf numFmtId="0" fontId="9" fillId="0" borderId="0"/>
    <xf numFmtId="0" fontId="42" fillId="0" borderId="0">
      <alignment vertical="center"/>
    </xf>
    <xf numFmtId="0" fontId="50" fillId="0" borderId="0"/>
    <xf numFmtId="0" fontId="49" fillId="0" borderId="0"/>
    <xf numFmtId="0" fontId="9" fillId="0" borderId="0"/>
    <xf numFmtId="0" fontId="43" fillId="0" borderId="0" applyNumberFormat="0" applyFill="0" applyBorder="0" applyAlignment="0" applyProtection="0"/>
    <xf numFmtId="0" fontId="42" fillId="0" borderId="0">
      <alignment vertical="center"/>
    </xf>
    <xf numFmtId="0" fontId="43" fillId="0" borderId="0" applyNumberFormat="0" applyFill="0" applyBorder="0" applyAlignment="0" applyProtection="0"/>
    <xf numFmtId="0" fontId="50" fillId="0" borderId="0"/>
    <xf numFmtId="0" fontId="9" fillId="0" borderId="0">
      <alignment vertical="center"/>
    </xf>
    <xf numFmtId="0" fontId="7" fillId="0" borderId="0"/>
    <xf numFmtId="0" fontId="7" fillId="0" borderId="0"/>
    <xf numFmtId="0" fontId="7" fillId="0" borderId="0"/>
    <xf numFmtId="0" fontId="42" fillId="0" borderId="0">
      <alignment vertical="center"/>
    </xf>
    <xf numFmtId="0" fontId="22" fillId="0" borderId="0"/>
    <xf numFmtId="0" fontId="59" fillId="0" borderId="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60" fillId="13" borderId="0" applyNumberFormat="0" applyBorder="0" applyAlignment="0" applyProtection="0">
      <alignment vertical="center"/>
    </xf>
    <xf numFmtId="0" fontId="60" fillId="9" borderId="0" applyNumberFormat="0" applyBorder="0" applyAlignment="0" applyProtection="0">
      <alignment vertical="center"/>
    </xf>
    <xf numFmtId="0" fontId="60" fillId="14" borderId="0" applyNumberFormat="0" applyBorder="0" applyAlignment="0" applyProtection="0">
      <alignment vertical="center"/>
    </xf>
    <xf numFmtId="0" fontId="60" fillId="15" borderId="0" applyNumberFormat="0" applyBorder="0" applyAlignment="0" applyProtection="0">
      <alignment vertical="center"/>
    </xf>
    <xf numFmtId="0" fontId="60" fillId="16" borderId="0" applyNumberFormat="0" applyBorder="0" applyAlignment="0" applyProtection="0">
      <alignment vertical="center"/>
    </xf>
    <xf numFmtId="0" fontId="60" fillId="17" borderId="0" applyNumberFormat="0" applyBorder="0" applyAlignment="0" applyProtection="0">
      <alignment vertical="center"/>
    </xf>
    <xf numFmtId="0" fontId="60" fillId="16" borderId="0" applyNumberFormat="0" applyBorder="0" applyAlignment="0" applyProtection="0">
      <alignment vertical="center"/>
    </xf>
    <xf numFmtId="0" fontId="60" fillId="18" borderId="0" applyNumberFormat="0" applyBorder="0" applyAlignment="0" applyProtection="0">
      <alignment vertical="center"/>
    </xf>
    <xf numFmtId="0" fontId="60" fillId="19" borderId="0" applyNumberFormat="0" applyBorder="0" applyAlignment="0" applyProtection="0">
      <alignment vertical="center"/>
    </xf>
    <xf numFmtId="0" fontId="60" fillId="20" borderId="0" applyNumberFormat="0" applyBorder="0" applyAlignment="0" applyProtection="0">
      <alignment vertical="center"/>
    </xf>
    <xf numFmtId="0" fontId="60" fillId="21" borderId="0" applyNumberFormat="0" applyBorder="0" applyAlignment="0" applyProtection="0">
      <alignment vertical="center"/>
    </xf>
    <xf numFmtId="0" fontId="60" fillId="17" borderId="0" applyNumberFormat="0" applyBorder="0" applyAlignment="0" applyProtection="0">
      <alignment vertical="center"/>
    </xf>
    <xf numFmtId="0" fontId="61" fillId="0" borderId="0" applyNumberFormat="0" applyFill="0" applyBorder="0" applyAlignment="0" applyProtection="0">
      <alignment vertical="center"/>
    </xf>
    <xf numFmtId="0" fontId="62" fillId="19" borderId="216" applyNumberFormat="0" applyAlignment="0" applyProtection="0">
      <alignment vertical="center"/>
    </xf>
    <xf numFmtId="0" fontId="63" fillId="15" borderId="0" applyNumberFormat="0" applyBorder="0" applyAlignment="0" applyProtection="0">
      <alignment vertical="center"/>
    </xf>
    <xf numFmtId="9" fontId="59" fillId="0" borderId="0" applyFont="0" applyFill="0" applyBorder="0" applyAlignment="0" applyProtection="0"/>
    <xf numFmtId="9" fontId="9" fillId="0" borderId="0" applyFont="0" applyFill="0" applyBorder="0" applyAlignment="0" applyProtection="0">
      <alignment vertical="center"/>
    </xf>
    <xf numFmtId="9" fontId="18" fillId="0" borderId="0" applyFont="0" applyFill="0" applyBorder="0" applyAlignment="0" applyProtection="0"/>
    <xf numFmtId="0" fontId="64" fillId="0" borderId="217" applyNumberFormat="0" applyFill="0" applyAlignment="0" applyProtection="0">
      <alignment vertical="center"/>
    </xf>
    <xf numFmtId="0" fontId="65" fillId="22" borderId="0" applyNumberFormat="0" applyBorder="0" applyAlignment="0" applyProtection="0">
      <alignment vertical="center"/>
    </xf>
    <xf numFmtId="0" fontId="66" fillId="14" borderId="218" applyNumberFormat="0" applyAlignment="0" applyProtection="0">
      <alignment vertical="center"/>
    </xf>
    <xf numFmtId="0" fontId="67" fillId="0" borderId="0" applyNumberFormat="0" applyFill="0" applyBorder="0" applyAlignment="0" applyProtection="0">
      <alignment vertical="center"/>
    </xf>
    <xf numFmtId="38" fontId="59" fillId="0" borderId="0" applyFont="0" applyFill="0" applyBorder="0" applyAlignment="0" applyProtection="0"/>
    <xf numFmtId="38" fontId="18" fillId="0" borderId="0" applyFont="0" applyFill="0" applyBorder="0" applyAlignment="0" applyProtection="0"/>
    <xf numFmtId="0" fontId="68" fillId="0" borderId="219" applyNumberFormat="0" applyFill="0" applyAlignment="0" applyProtection="0">
      <alignment vertical="center"/>
    </xf>
    <xf numFmtId="0" fontId="69" fillId="0" borderId="220" applyNumberFormat="0" applyFill="0" applyAlignment="0" applyProtection="0">
      <alignment vertical="center"/>
    </xf>
    <xf numFmtId="0" fontId="70" fillId="0" borderId="221" applyNumberFormat="0" applyFill="0" applyAlignment="0" applyProtection="0">
      <alignment vertical="center"/>
    </xf>
    <xf numFmtId="0" fontId="70" fillId="0" borderId="0" applyNumberFormat="0" applyFill="0" applyBorder="0" applyAlignment="0" applyProtection="0">
      <alignment vertical="center"/>
    </xf>
    <xf numFmtId="0" fontId="71" fillId="0" borderId="222" applyNumberFormat="0" applyFill="0" applyAlignment="0" applyProtection="0">
      <alignment vertical="center"/>
    </xf>
    <xf numFmtId="0" fontId="72" fillId="14" borderId="223" applyNumberFormat="0" applyAlignment="0" applyProtection="0">
      <alignment vertical="center"/>
    </xf>
    <xf numFmtId="0" fontId="73" fillId="0" borderId="0" applyNumberFormat="0" applyFill="0" applyBorder="0" applyAlignment="0" applyProtection="0">
      <alignment vertical="center"/>
    </xf>
    <xf numFmtId="0" fontId="74" fillId="9" borderId="218" applyNumberFormat="0" applyAlignment="0" applyProtection="0">
      <alignment vertical="center"/>
    </xf>
    <xf numFmtId="0" fontId="9" fillId="0" borderId="0">
      <alignment vertical="center"/>
    </xf>
    <xf numFmtId="0" fontId="18" fillId="0" borderId="0"/>
    <xf numFmtId="0" fontId="9" fillId="0" borderId="0">
      <alignment vertical="center"/>
    </xf>
    <xf numFmtId="0" fontId="75" fillId="12" borderId="0" applyNumberFormat="0" applyBorder="0" applyAlignment="0" applyProtection="0">
      <alignment vertical="center"/>
    </xf>
    <xf numFmtId="0" fontId="46" fillId="0" borderId="0"/>
    <xf numFmtId="0" fontId="42" fillId="13" borderId="0" applyNumberFormat="0" applyBorder="0" applyAlignment="0" applyProtection="0">
      <alignment vertical="center"/>
    </xf>
    <xf numFmtId="0" fontId="42" fillId="11" borderId="0" applyNumberFormat="0" applyBorder="0" applyAlignment="0" applyProtection="0">
      <alignment vertical="center"/>
    </xf>
    <xf numFmtId="0" fontId="42" fillId="54" borderId="0" applyNumberFormat="0" applyBorder="0" applyAlignment="0" applyProtection="0">
      <alignment vertical="center"/>
    </xf>
    <xf numFmtId="0" fontId="42" fillId="22" borderId="0" applyNumberFormat="0" applyBorder="0" applyAlignment="0" applyProtection="0">
      <alignment vertical="center"/>
    </xf>
    <xf numFmtId="0" fontId="42" fillId="4" borderId="0" applyNumberFormat="0" applyBorder="0" applyAlignment="0" applyProtection="0">
      <alignment vertical="center"/>
    </xf>
    <xf numFmtId="0" fontId="42" fillId="12" borderId="0" applyNumberFormat="0" applyBorder="0" applyAlignment="0" applyProtection="0">
      <alignment vertical="center"/>
    </xf>
    <xf numFmtId="0" fontId="42" fillId="9" borderId="0" applyNumberFormat="0" applyBorder="0" applyAlignment="0" applyProtection="0">
      <alignment vertical="center"/>
    </xf>
    <xf numFmtId="0" fontId="42" fillId="55" borderId="0" applyNumberFormat="0" applyBorder="0" applyAlignment="0" applyProtection="0">
      <alignment vertical="center"/>
    </xf>
    <xf numFmtId="0" fontId="42" fillId="8" borderId="0" applyNumberFormat="0" applyBorder="0" applyAlignment="0" applyProtection="0">
      <alignment vertical="center"/>
    </xf>
    <xf numFmtId="0" fontId="42" fillId="4" borderId="0" applyNumberFormat="0" applyBorder="0" applyAlignment="0" applyProtection="0">
      <alignment vertical="center"/>
    </xf>
    <xf numFmtId="0" fontId="42" fillId="9" borderId="0" applyNumberFormat="0" applyBorder="0" applyAlignment="0" applyProtection="0">
      <alignment vertical="center"/>
    </xf>
    <xf numFmtId="0" fontId="42" fillId="8" borderId="0" applyNumberFormat="0" applyBorder="0" applyAlignment="0" applyProtection="0">
      <alignment vertical="center"/>
    </xf>
    <xf numFmtId="0" fontId="42" fillId="54" borderId="0" applyNumberFormat="0" applyBorder="0" applyAlignment="0" applyProtection="0">
      <alignment vertical="center"/>
    </xf>
    <xf numFmtId="0" fontId="42" fillId="15" borderId="0" applyNumberFormat="0" applyBorder="0" applyAlignment="0" applyProtection="0">
      <alignment vertical="center"/>
    </xf>
    <xf numFmtId="0" fontId="42" fillId="56" borderId="0" applyNumberFormat="0" applyBorder="0" applyAlignment="0" applyProtection="0">
      <alignment vertical="center"/>
    </xf>
    <xf numFmtId="0" fontId="42" fillId="22" borderId="0" applyNumberFormat="0" applyBorder="0" applyAlignment="0" applyProtection="0">
      <alignment vertical="center"/>
    </xf>
    <xf numFmtId="0" fontId="42" fillId="55" borderId="0" applyNumberFormat="0" applyBorder="0" applyAlignment="0" applyProtection="0">
      <alignment vertical="center"/>
    </xf>
    <xf numFmtId="0" fontId="42" fillId="8" borderId="0" applyNumberFormat="0" applyBorder="0" applyAlignment="0" applyProtection="0">
      <alignment vertical="center"/>
    </xf>
    <xf numFmtId="0" fontId="42" fillId="4" borderId="0" applyNumberFormat="0" applyBorder="0" applyAlignment="0" applyProtection="0">
      <alignment vertical="center"/>
    </xf>
    <xf numFmtId="0" fontId="42" fillId="20" borderId="0" applyNumberFormat="0" applyBorder="0" applyAlignment="0" applyProtection="0">
      <alignment vertical="center"/>
    </xf>
    <xf numFmtId="0" fontId="60" fillId="8" borderId="0" applyNumberFormat="0" applyBorder="0" applyAlignment="0" applyProtection="0">
      <alignment vertical="center"/>
    </xf>
    <xf numFmtId="0" fontId="60" fillId="57" borderId="0" applyNumberFormat="0" applyBorder="0" applyAlignment="0" applyProtection="0">
      <alignment vertical="center"/>
    </xf>
    <xf numFmtId="0" fontId="60" fillId="18" borderId="0" applyNumberFormat="0" applyBorder="0" applyAlignment="0" applyProtection="0">
      <alignment vertical="center"/>
    </xf>
    <xf numFmtId="0" fontId="60" fillId="54" borderId="0" applyNumberFormat="0" applyBorder="0" applyAlignment="0" applyProtection="0">
      <alignment vertical="center"/>
    </xf>
    <xf numFmtId="0" fontId="60" fillId="20" borderId="0" applyNumberFormat="0" applyBorder="0" applyAlignment="0" applyProtection="0">
      <alignment vertical="center"/>
    </xf>
    <xf numFmtId="0" fontId="60" fillId="56" borderId="0" applyNumberFormat="0" applyBorder="0" applyAlignment="0" applyProtection="0">
      <alignment vertical="center"/>
    </xf>
    <xf numFmtId="0" fontId="60" fillId="22" borderId="0" applyNumberFormat="0" applyBorder="0" applyAlignment="0" applyProtection="0">
      <alignment vertical="center"/>
    </xf>
    <xf numFmtId="0" fontId="60" fillId="58" borderId="0" applyNumberFormat="0" applyBorder="0" applyAlignment="0" applyProtection="0">
      <alignment vertical="center"/>
    </xf>
    <xf numFmtId="0" fontId="60" fillId="8" borderId="0" applyNumberFormat="0" applyBorder="0" applyAlignment="0" applyProtection="0">
      <alignment vertical="center"/>
    </xf>
    <xf numFmtId="0" fontId="60" fillId="54" borderId="0" applyNumberFormat="0" applyBorder="0" applyAlignment="0" applyProtection="0">
      <alignment vertical="center"/>
    </xf>
    <xf numFmtId="0" fontId="60" fillId="59" borderId="0" applyNumberFormat="0" applyBorder="0" applyAlignment="0" applyProtection="0">
      <alignment vertical="center"/>
    </xf>
    <xf numFmtId="0" fontId="60" fillId="60" borderId="0" applyNumberFormat="0" applyBorder="0" applyAlignment="0" applyProtection="0">
      <alignment vertical="center"/>
    </xf>
    <xf numFmtId="0" fontId="60" fillId="21" borderId="0" applyNumberFormat="0" applyBorder="0" applyAlignment="0" applyProtection="0">
      <alignment vertical="center"/>
    </xf>
    <xf numFmtId="0" fontId="60" fillId="61" borderId="0" applyNumberFormat="0" applyBorder="0" applyAlignment="0" applyProtection="0">
      <alignment vertical="center"/>
    </xf>
    <xf numFmtId="0" fontId="60" fillId="20" borderId="0" applyNumberFormat="0" applyBorder="0" applyAlignment="0" applyProtection="0">
      <alignment vertical="center"/>
    </xf>
    <xf numFmtId="0" fontId="60" fillId="17" borderId="0" applyNumberFormat="0" applyBorder="0" applyAlignment="0" applyProtection="0">
      <alignment vertical="center"/>
    </xf>
    <xf numFmtId="0" fontId="60" fillId="62" borderId="0" applyNumberFormat="0" applyBorder="0" applyAlignment="0" applyProtection="0">
      <alignment vertical="center"/>
    </xf>
    <xf numFmtId="0" fontId="60" fillId="58" borderId="0" applyNumberFormat="0" applyBorder="0" applyAlignment="0" applyProtection="0">
      <alignment vertical="center"/>
    </xf>
    <xf numFmtId="0" fontId="60" fillId="16" borderId="0" applyNumberFormat="0" applyBorder="0" applyAlignment="0" applyProtection="0">
      <alignment vertical="center"/>
    </xf>
    <xf numFmtId="0" fontId="60" fillId="61" borderId="0" applyNumberFormat="0" applyBorder="0" applyAlignment="0" applyProtection="0">
      <alignment vertical="center"/>
    </xf>
    <xf numFmtId="0" fontId="60" fillId="18" borderId="0" applyNumberFormat="0" applyBorder="0" applyAlignment="0" applyProtection="0">
      <alignment vertical="center"/>
    </xf>
    <xf numFmtId="0" fontId="79"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0" fillId="15" borderId="0" applyNumberFormat="0" applyBorder="0" applyAlignment="0" applyProtection="0">
      <alignment vertical="center"/>
    </xf>
    <xf numFmtId="0" fontId="89" fillId="25" borderId="0" applyNumberFormat="0" applyBorder="0" applyAlignment="0" applyProtection="0">
      <alignment vertical="center"/>
    </xf>
    <xf numFmtId="9" fontId="46" fillId="0" borderId="0" applyFont="0" applyFill="0" applyBorder="0" applyAlignment="0" applyProtection="0"/>
    <xf numFmtId="0" fontId="78" fillId="0" borderId="0" applyNumberFormat="0" applyFill="0" applyBorder="0" applyAlignment="0" applyProtection="0">
      <alignment vertical="top"/>
      <protection locked="0"/>
    </xf>
    <xf numFmtId="0" fontId="9" fillId="4" borderId="4" applyNumberFormat="0" applyFont="0" applyAlignment="0" applyProtection="0">
      <alignment vertical="center"/>
    </xf>
    <xf numFmtId="0" fontId="46" fillId="4" borderId="4" applyNumberFormat="0" applyFont="0" applyAlignment="0" applyProtection="0">
      <alignment vertical="center"/>
    </xf>
    <xf numFmtId="0" fontId="67" fillId="0" borderId="233" applyNumberFormat="0" applyFill="0" applyAlignment="0" applyProtection="0">
      <alignment vertical="center"/>
    </xf>
    <xf numFmtId="0" fontId="65" fillId="55" borderId="0" applyNumberFormat="0" applyBorder="0" applyAlignment="0" applyProtection="0">
      <alignment vertical="center"/>
    </xf>
    <xf numFmtId="0" fontId="81" fillId="10" borderId="218" applyNumberFormat="0" applyAlignment="0" applyProtection="0">
      <alignment vertical="center"/>
    </xf>
    <xf numFmtId="38" fontId="46" fillId="0" borderId="0" applyFont="0" applyFill="0" applyBorder="0" applyAlignment="0" applyProtection="0"/>
    <xf numFmtId="38" fontId="9" fillId="0" borderId="0" applyFont="0" applyFill="0" applyBorder="0" applyAlignment="0" applyProtection="0"/>
    <xf numFmtId="38" fontId="42" fillId="0" borderId="0" applyFont="0" applyFill="0" applyBorder="0" applyAlignment="0" applyProtection="0">
      <alignment vertical="center"/>
    </xf>
    <xf numFmtId="0" fontId="9" fillId="0" borderId="0" applyFont="0" applyFill="0" applyBorder="0" applyAlignment="0" applyProtection="0">
      <alignment vertical="center"/>
    </xf>
    <xf numFmtId="0" fontId="9" fillId="0" borderId="0" applyFont="0" applyFill="0" applyBorder="0" applyAlignment="0" applyProtection="0">
      <alignment vertical="center"/>
    </xf>
    <xf numFmtId="38" fontId="9" fillId="0" borderId="0" applyFont="0" applyFill="0" applyBorder="0" applyAlignment="0" applyProtection="0">
      <alignment vertical="center"/>
    </xf>
    <xf numFmtId="0" fontId="82" fillId="0" borderId="234" applyNumberFormat="0" applyFill="0" applyAlignment="0" applyProtection="0">
      <alignment vertical="center"/>
    </xf>
    <xf numFmtId="0" fontId="86" fillId="0" borderId="235" applyNumberFormat="0" applyFill="0" applyAlignment="0" applyProtection="0">
      <alignment vertical="center"/>
    </xf>
    <xf numFmtId="0" fontId="83" fillId="0" borderId="236" applyNumberFormat="0" applyFill="0" applyAlignment="0" applyProtection="0">
      <alignment vertical="center"/>
    </xf>
    <xf numFmtId="0" fontId="87" fillId="0" borderId="237" applyNumberFormat="0" applyFill="0" applyAlignment="0" applyProtection="0">
      <alignment vertical="center"/>
    </xf>
    <xf numFmtId="0" fontId="84" fillId="0" borderId="238" applyNumberFormat="0" applyFill="0" applyAlignment="0" applyProtection="0">
      <alignment vertical="center"/>
    </xf>
    <xf numFmtId="0" fontId="88" fillId="0" borderId="239" applyNumberFormat="0" applyFill="0" applyAlignment="0" applyProtection="0">
      <alignment vertical="center"/>
    </xf>
    <xf numFmtId="0" fontId="84"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71" fillId="0" borderId="240" applyNumberFormat="0" applyFill="0" applyAlignment="0" applyProtection="0">
      <alignment vertical="center"/>
    </xf>
    <xf numFmtId="0" fontId="71" fillId="0" borderId="241" applyNumberFormat="0" applyFill="0" applyAlignment="0" applyProtection="0">
      <alignment vertical="center"/>
    </xf>
    <xf numFmtId="0" fontId="72" fillId="10" borderId="223" applyNumberFormat="0" applyAlignment="0" applyProtection="0">
      <alignment vertical="center"/>
    </xf>
    <xf numFmtId="0" fontId="74" fillId="15" borderId="218" applyNumberFormat="0" applyAlignment="0" applyProtection="0">
      <alignment vertical="center"/>
    </xf>
    <xf numFmtId="0" fontId="42" fillId="0" borderId="0">
      <alignment vertical="center"/>
    </xf>
    <xf numFmtId="0" fontId="9" fillId="0" borderId="0">
      <alignment vertical="center"/>
    </xf>
    <xf numFmtId="0" fontId="42" fillId="0" borderId="0">
      <alignment vertical="center"/>
    </xf>
    <xf numFmtId="0" fontId="9" fillId="0" borderId="0"/>
    <xf numFmtId="0" fontId="19" fillId="0" borderId="0">
      <alignment vertical="center"/>
    </xf>
    <xf numFmtId="0" fontId="9" fillId="0" borderId="0"/>
    <xf numFmtId="0" fontId="42" fillId="0" borderId="0">
      <alignment vertical="center"/>
    </xf>
    <xf numFmtId="0" fontId="50" fillId="0" borderId="0"/>
    <xf numFmtId="0" fontId="50" fillId="0" borderId="0"/>
    <xf numFmtId="0" fontId="9" fillId="0" borderId="0"/>
    <xf numFmtId="0" fontId="9" fillId="0" borderId="0">
      <alignment vertical="center"/>
    </xf>
    <xf numFmtId="0" fontId="9" fillId="0" borderId="0">
      <alignment vertical="center"/>
    </xf>
    <xf numFmtId="0" fontId="9" fillId="0" borderId="0">
      <alignment vertical="center"/>
    </xf>
    <xf numFmtId="0" fontId="75" fillId="8" borderId="0" applyNumberFormat="0" applyBorder="0" applyAlignment="0" applyProtection="0">
      <alignment vertical="center"/>
    </xf>
    <xf numFmtId="0" fontId="43" fillId="4" borderId="4" applyNumberFormat="0" applyFont="0" applyAlignment="0" applyProtection="0">
      <alignment vertical="center"/>
    </xf>
    <xf numFmtId="38" fontId="77" fillId="0" borderId="0" applyFont="0" applyFill="0" applyBorder="0" applyAlignment="0" applyProtection="0">
      <alignment vertical="center"/>
    </xf>
    <xf numFmtId="0" fontId="91" fillId="0" borderId="0" applyNumberFormat="0" applyFill="0" applyBorder="0" applyAlignment="0" applyProtection="0">
      <alignment vertical="top"/>
      <protection locked="0"/>
    </xf>
    <xf numFmtId="0" fontId="42" fillId="0" borderId="0">
      <alignment vertical="center"/>
    </xf>
    <xf numFmtId="0" fontId="96" fillId="31" borderId="0" applyNumberFormat="0" applyBorder="0" applyAlignment="0" applyProtection="0">
      <alignment vertical="center"/>
    </xf>
    <xf numFmtId="0" fontId="42" fillId="4" borderId="0" applyNumberFormat="0" applyBorder="0" applyAlignment="0" applyProtection="0">
      <alignment vertical="center"/>
    </xf>
    <xf numFmtId="0" fontId="96" fillId="35" borderId="0" applyNumberFormat="0" applyBorder="0" applyAlignment="0" applyProtection="0">
      <alignment vertical="center"/>
    </xf>
    <xf numFmtId="0" fontId="42" fillId="9" borderId="0" applyNumberFormat="0" applyBorder="0" applyAlignment="0" applyProtection="0">
      <alignment vertical="center"/>
    </xf>
    <xf numFmtId="0" fontId="96" fillId="39" borderId="0" applyNumberFormat="0" applyBorder="0" applyAlignment="0" applyProtection="0">
      <alignment vertical="center"/>
    </xf>
    <xf numFmtId="0" fontId="96" fillId="43" borderId="0" applyNumberFormat="0" applyBorder="0" applyAlignment="0" applyProtection="0">
      <alignment vertical="center"/>
    </xf>
    <xf numFmtId="0" fontId="42" fillId="13" borderId="0" applyNumberFormat="0" applyBorder="0" applyAlignment="0" applyProtection="0">
      <alignment vertical="center"/>
    </xf>
    <xf numFmtId="0" fontId="96" fillId="47" borderId="0" applyNumberFormat="0" applyBorder="0" applyAlignment="0" applyProtection="0">
      <alignment vertical="center"/>
    </xf>
    <xf numFmtId="0" fontId="42" fillId="8" borderId="0" applyNumberFormat="0" applyBorder="0" applyAlignment="0" applyProtection="0">
      <alignment vertical="center"/>
    </xf>
    <xf numFmtId="0" fontId="96" fillId="51" borderId="0" applyNumberFormat="0" applyBorder="0" applyAlignment="0" applyProtection="0">
      <alignment vertical="center"/>
    </xf>
    <xf numFmtId="0" fontId="96" fillId="32" borderId="0" applyNumberFormat="0" applyBorder="0" applyAlignment="0" applyProtection="0">
      <alignment vertical="center"/>
    </xf>
    <xf numFmtId="0" fontId="96" fillId="36" borderId="0" applyNumberFormat="0" applyBorder="0" applyAlignment="0" applyProtection="0">
      <alignment vertical="center"/>
    </xf>
    <xf numFmtId="0" fontId="42" fillId="9" borderId="0" applyNumberFormat="0" applyBorder="0" applyAlignment="0" applyProtection="0">
      <alignment vertical="center"/>
    </xf>
    <xf numFmtId="0" fontId="96" fillId="40" borderId="0" applyNumberFormat="0" applyBorder="0" applyAlignment="0" applyProtection="0">
      <alignment vertical="center"/>
    </xf>
    <xf numFmtId="0" fontId="96" fillId="44" borderId="0" applyNumberFormat="0" applyBorder="0" applyAlignment="0" applyProtection="0">
      <alignment vertical="center"/>
    </xf>
    <xf numFmtId="0" fontId="96" fillId="48" borderId="0" applyNumberFormat="0" applyBorder="0" applyAlignment="0" applyProtection="0">
      <alignment vertical="center"/>
    </xf>
    <xf numFmtId="0" fontId="42" fillId="8" borderId="0" applyNumberFormat="0" applyBorder="0" applyAlignment="0" applyProtection="0">
      <alignment vertical="center"/>
    </xf>
    <xf numFmtId="0" fontId="96" fillId="52" borderId="0" applyNumberFormat="0" applyBorder="0" applyAlignment="0" applyProtection="0">
      <alignment vertical="center"/>
    </xf>
    <xf numFmtId="0" fontId="97" fillId="33" borderId="0" applyNumberFormat="0" applyBorder="0" applyAlignment="0" applyProtection="0">
      <alignment vertical="center"/>
    </xf>
    <xf numFmtId="0" fontId="97" fillId="37" borderId="0" applyNumberFormat="0" applyBorder="0" applyAlignment="0" applyProtection="0">
      <alignment vertical="center"/>
    </xf>
    <xf numFmtId="0" fontId="97" fillId="41" borderId="0" applyNumberFormat="0" applyBorder="0" applyAlignment="0" applyProtection="0">
      <alignment vertical="center"/>
    </xf>
    <xf numFmtId="0" fontId="97" fillId="45" borderId="0" applyNumberFormat="0" applyBorder="0" applyAlignment="0" applyProtection="0">
      <alignment vertical="center"/>
    </xf>
    <xf numFmtId="0" fontId="60" fillId="13" borderId="0" applyNumberFormat="0" applyBorder="0" applyAlignment="0" applyProtection="0">
      <alignment vertical="center"/>
    </xf>
    <xf numFmtId="0" fontId="97" fillId="49" borderId="0" applyNumberFormat="0" applyBorder="0" applyAlignment="0" applyProtection="0">
      <alignment vertical="center"/>
    </xf>
    <xf numFmtId="0" fontId="60" fillId="63" borderId="0" applyNumberFormat="0" applyBorder="0" applyAlignment="0" applyProtection="0">
      <alignment vertical="center"/>
    </xf>
    <xf numFmtId="0" fontId="97" fillId="53" borderId="0" applyNumberFormat="0" applyBorder="0" applyAlignment="0" applyProtection="0">
      <alignment vertical="center"/>
    </xf>
    <xf numFmtId="0" fontId="97" fillId="30" borderId="0" applyNumberFormat="0" applyBorder="0" applyAlignment="0" applyProtection="0">
      <alignment vertical="center"/>
    </xf>
    <xf numFmtId="0" fontId="97" fillId="34" borderId="0" applyNumberFormat="0" applyBorder="0" applyAlignment="0" applyProtection="0">
      <alignment vertical="center"/>
    </xf>
    <xf numFmtId="0" fontId="97" fillId="38" borderId="0" applyNumberFormat="0" applyBorder="0" applyAlignment="0" applyProtection="0">
      <alignment vertical="center"/>
    </xf>
    <xf numFmtId="0" fontId="60" fillId="64" borderId="0" applyNumberFormat="0" applyBorder="0" applyAlignment="0" applyProtection="0">
      <alignment vertical="center"/>
    </xf>
    <xf numFmtId="0" fontId="97" fillId="42" borderId="0" applyNumberFormat="0" applyBorder="0" applyAlignment="0" applyProtection="0">
      <alignment vertical="center"/>
    </xf>
    <xf numFmtId="0" fontId="60" fillId="60" borderId="0" applyNumberFormat="0" applyBorder="0" applyAlignment="0" applyProtection="0">
      <alignment vertical="center"/>
    </xf>
    <xf numFmtId="0" fontId="97" fillId="46" borderId="0" applyNumberFormat="0" applyBorder="0" applyAlignment="0" applyProtection="0">
      <alignment vertical="center"/>
    </xf>
    <xf numFmtId="0" fontId="60" fillId="63" borderId="0" applyNumberFormat="0" applyBorder="0" applyAlignment="0" applyProtection="0">
      <alignment vertical="center"/>
    </xf>
    <xf numFmtId="0" fontId="97" fillId="50" borderId="0" applyNumberFormat="0" applyBorder="0" applyAlignment="0" applyProtection="0">
      <alignment vertical="center"/>
    </xf>
    <xf numFmtId="0" fontId="92"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0" fillId="28" borderId="230" applyNumberFormat="0" applyAlignment="0" applyProtection="0">
      <alignment vertical="center"/>
    </xf>
    <xf numFmtId="0" fontId="99" fillId="25" borderId="0" applyNumberFormat="0" applyBorder="0" applyAlignment="0" applyProtection="0">
      <alignment vertical="center"/>
    </xf>
    <xf numFmtId="0" fontId="42" fillId="29" borderId="231" applyNumberFormat="0" applyFont="0" applyAlignment="0" applyProtection="0">
      <alignment vertical="center"/>
    </xf>
    <xf numFmtId="0" fontId="100" fillId="0" borderId="229" applyNumberFormat="0" applyFill="0" applyAlignment="0" applyProtection="0">
      <alignment vertical="center"/>
    </xf>
    <xf numFmtId="0" fontId="101" fillId="24" borderId="0" applyNumberFormat="0" applyBorder="0" applyAlignment="0" applyProtection="0">
      <alignment vertical="center"/>
    </xf>
    <xf numFmtId="0" fontId="102" fillId="27" borderId="227" applyNumberFormat="0" applyAlignment="0" applyProtection="0">
      <alignment vertical="center"/>
    </xf>
    <xf numFmtId="0" fontId="103" fillId="0" borderId="0" applyNumberFormat="0" applyFill="0" applyBorder="0" applyAlignment="0" applyProtection="0">
      <alignment vertical="center"/>
    </xf>
    <xf numFmtId="0" fontId="93" fillId="0" borderId="219" applyNumberFormat="0" applyFill="0" applyAlignment="0" applyProtection="0">
      <alignment vertical="center"/>
    </xf>
    <xf numFmtId="0" fontId="104" fillId="0" borderId="224" applyNumberFormat="0" applyFill="0" applyAlignment="0" applyProtection="0">
      <alignment vertical="center"/>
    </xf>
    <xf numFmtId="0" fontId="94" fillId="0" borderId="220" applyNumberFormat="0" applyFill="0" applyAlignment="0" applyProtection="0">
      <alignment vertical="center"/>
    </xf>
    <xf numFmtId="0" fontId="105" fillId="0" borderId="225" applyNumberFormat="0" applyFill="0" applyAlignment="0" applyProtection="0">
      <alignment vertical="center"/>
    </xf>
    <xf numFmtId="0" fontId="95" fillId="0" borderId="221" applyNumberFormat="0" applyFill="0" applyAlignment="0" applyProtection="0">
      <alignment vertical="center"/>
    </xf>
    <xf numFmtId="0" fontId="106" fillId="0" borderId="226" applyNumberFormat="0" applyFill="0" applyAlignment="0" applyProtection="0">
      <alignment vertical="center"/>
    </xf>
    <xf numFmtId="0" fontId="95"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7" fillId="0" borderId="232" applyNumberFormat="0" applyFill="0" applyAlignment="0" applyProtection="0">
      <alignment vertical="center"/>
    </xf>
    <xf numFmtId="0" fontId="108" fillId="27" borderId="228" applyNumberFormat="0" applyAlignment="0" applyProtection="0">
      <alignment vertical="center"/>
    </xf>
    <xf numFmtId="0" fontId="109" fillId="0" borderId="0" applyNumberFormat="0" applyFill="0" applyBorder="0" applyAlignment="0" applyProtection="0">
      <alignment vertical="center"/>
    </xf>
    <xf numFmtId="0" fontId="110" fillId="26" borderId="227" applyNumberFormat="0" applyAlignment="0" applyProtection="0">
      <alignment vertical="center"/>
    </xf>
    <xf numFmtId="0" fontId="9" fillId="0" borderId="0">
      <alignment vertical="center"/>
    </xf>
    <xf numFmtId="0" fontId="96" fillId="0" borderId="0">
      <alignment vertical="center"/>
    </xf>
    <xf numFmtId="0" fontId="96" fillId="0" borderId="0">
      <alignment vertical="center"/>
    </xf>
    <xf numFmtId="0" fontId="111" fillId="23" borderId="0" applyNumberFormat="0" applyBorder="0" applyAlignment="0" applyProtection="0">
      <alignment vertical="center"/>
    </xf>
    <xf numFmtId="38" fontId="77" fillId="0" borderId="0" applyFont="0" applyFill="0" applyBorder="0" applyAlignment="0" applyProtection="0">
      <alignment vertical="center"/>
    </xf>
    <xf numFmtId="0" fontId="112" fillId="0" borderId="0" applyNumberFormat="0" applyFill="0" applyBorder="0" applyAlignment="0" applyProtection="0"/>
    <xf numFmtId="9" fontId="7" fillId="0" borderId="0" applyFont="0" applyFill="0" applyBorder="0" applyAlignment="0" applyProtection="0"/>
    <xf numFmtId="0" fontId="18" fillId="4" borderId="4" applyNumberFormat="0" applyFont="0" applyAlignment="0" applyProtection="0">
      <alignment vertical="center"/>
    </xf>
    <xf numFmtId="38" fontId="7" fillId="0" borderId="0" applyFont="0" applyFill="0" applyBorder="0" applyAlignment="0" applyProtection="0"/>
    <xf numFmtId="6" fontId="7" fillId="0" borderId="0" applyFont="0" applyFill="0" applyBorder="0" applyAlignment="0" applyProtection="0"/>
    <xf numFmtId="0" fontId="20" fillId="0" borderId="0"/>
    <xf numFmtId="0" fontId="77" fillId="0" borderId="0">
      <alignment vertical="center"/>
    </xf>
    <xf numFmtId="0" fontId="77" fillId="0" borderId="0">
      <alignment vertical="center"/>
    </xf>
    <xf numFmtId="0" fontId="117" fillId="0" borderId="0" applyNumberFormat="0" applyFill="0" applyBorder="0" applyAlignment="0" applyProtection="0">
      <alignment vertical="center"/>
    </xf>
    <xf numFmtId="0" fontId="118" fillId="0" borderId="224" applyNumberFormat="0" applyFill="0" applyAlignment="0" applyProtection="0">
      <alignment vertical="center"/>
    </xf>
    <xf numFmtId="0" fontId="119" fillId="0" borderId="225" applyNumberFormat="0" applyFill="0" applyAlignment="0" applyProtection="0">
      <alignment vertical="center"/>
    </xf>
    <xf numFmtId="0" fontId="120" fillId="0" borderId="226" applyNumberFormat="0" applyFill="0" applyAlignment="0" applyProtection="0">
      <alignment vertical="center"/>
    </xf>
    <xf numFmtId="0" fontId="120" fillId="0" borderId="0" applyNumberFormat="0" applyFill="0" applyBorder="0" applyAlignment="0" applyProtection="0">
      <alignment vertical="center"/>
    </xf>
    <xf numFmtId="0" fontId="121" fillId="23" borderId="0" applyNumberFormat="0" applyBorder="0" applyAlignment="0" applyProtection="0">
      <alignment vertical="center"/>
    </xf>
    <xf numFmtId="0" fontId="122" fillId="24" borderId="0" applyNumberFormat="0" applyBorder="0" applyAlignment="0" applyProtection="0">
      <alignment vertical="center"/>
    </xf>
    <xf numFmtId="0" fontId="123" fillId="25" borderId="0" applyNumberFormat="0" applyBorder="0" applyAlignment="0" applyProtection="0">
      <alignment vertical="center"/>
    </xf>
    <xf numFmtId="0" fontId="124" fillId="26" borderId="227" applyNumberFormat="0" applyAlignment="0" applyProtection="0">
      <alignment vertical="center"/>
    </xf>
    <xf numFmtId="0" fontId="125" fillId="27" borderId="228" applyNumberFormat="0" applyAlignment="0" applyProtection="0">
      <alignment vertical="center"/>
    </xf>
    <xf numFmtId="0" fontId="126" fillId="27" borderId="227" applyNumberFormat="0" applyAlignment="0" applyProtection="0">
      <alignment vertical="center"/>
    </xf>
    <xf numFmtId="0" fontId="127" fillId="0" borderId="229" applyNumberFormat="0" applyFill="0" applyAlignment="0" applyProtection="0">
      <alignment vertical="center"/>
    </xf>
    <xf numFmtId="0" fontId="128" fillId="28" borderId="230" applyNumberFormat="0" applyAlignment="0" applyProtection="0">
      <alignment vertical="center"/>
    </xf>
    <xf numFmtId="0" fontId="129" fillId="0" borderId="0" applyNumberFormat="0" applyFill="0" applyBorder="0" applyAlignment="0" applyProtection="0">
      <alignment vertical="center"/>
    </xf>
    <xf numFmtId="0" fontId="77" fillId="29" borderId="231" applyNumberFormat="0" applyFont="0" applyAlignment="0" applyProtection="0">
      <alignment vertical="center"/>
    </xf>
    <xf numFmtId="0" fontId="130" fillId="0" borderId="0" applyNumberFormat="0" applyFill="0" applyBorder="0" applyAlignment="0" applyProtection="0">
      <alignment vertical="center"/>
    </xf>
    <xf numFmtId="0" fontId="131" fillId="0" borderId="232" applyNumberFormat="0" applyFill="0" applyAlignment="0" applyProtection="0">
      <alignment vertical="center"/>
    </xf>
    <xf numFmtId="0" fontId="132" fillId="30" borderId="0" applyNumberFormat="0" applyBorder="0" applyAlignment="0" applyProtection="0">
      <alignment vertical="center"/>
    </xf>
    <xf numFmtId="0" fontId="77" fillId="31" borderId="0" applyNumberFormat="0" applyBorder="0" applyAlignment="0" applyProtection="0">
      <alignment vertical="center"/>
    </xf>
    <xf numFmtId="0" fontId="77" fillId="32" borderId="0" applyNumberFormat="0" applyBorder="0" applyAlignment="0" applyProtection="0">
      <alignment vertical="center"/>
    </xf>
    <xf numFmtId="0" fontId="132" fillId="33" borderId="0" applyNumberFormat="0" applyBorder="0" applyAlignment="0" applyProtection="0">
      <alignment vertical="center"/>
    </xf>
    <xf numFmtId="0" fontId="132" fillId="34" borderId="0" applyNumberFormat="0" applyBorder="0" applyAlignment="0" applyProtection="0">
      <alignment vertical="center"/>
    </xf>
    <xf numFmtId="0" fontId="77" fillId="35" borderId="0" applyNumberFormat="0" applyBorder="0" applyAlignment="0" applyProtection="0">
      <alignment vertical="center"/>
    </xf>
    <xf numFmtId="0" fontId="77" fillId="36" borderId="0" applyNumberFormat="0" applyBorder="0" applyAlignment="0" applyProtection="0">
      <alignment vertical="center"/>
    </xf>
    <xf numFmtId="0" fontId="132" fillId="37" borderId="0" applyNumberFormat="0" applyBorder="0" applyAlignment="0" applyProtection="0">
      <alignment vertical="center"/>
    </xf>
    <xf numFmtId="0" fontId="132" fillId="38" borderId="0" applyNumberFormat="0" applyBorder="0" applyAlignment="0" applyProtection="0">
      <alignment vertical="center"/>
    </xf>
    <xf numFmtId="0" fontId="77" fillId="39" borderId="0" applyNumberFormat="0" applyBorder="0" applyAlignment="0" applyProtection="0">
      <alignment vertical="center"/>
    </xf>
    <xf numFmtId="0" fontId="77" fillId="40" borderId="0" applyNumberFormat="0" applyBorder="0" applyAlignment="0" applyProtection="0">
      <alignment vertical="center"/>
    </xf>
    <xf numFmtId="0" fontId="132" fillId="41" borderId="0" applyNumberFormat="0" applyBorder="0" applyAlignment="0" applyProtection="0">
      <alignment vertical="center"/>
    </xf>
    <xf numFmtId="0" fontId="132" fillId="42" borderId="0" applyNumberFormat="0" applyBorder="0" applyAlignment="0" applyProtection="0">
      <alignment vertical="center"/>
    </xf>
    <xf numFmtId="0" fontId="77" fillId="43" borderId="0" applyNumberFormat="0" applyBorder="0" applyAlignment="0" applyProtection="0">
      <alignment vertical="center"/>
    </xf>
    <xf numFmtId="0" fontId="77" fillId="44" borderId="0" applyNumberFormat="0" applyBorder="0" applyAlignment="0" applyProtection="0">
      <alignment vertical="center"/>
    </xf>
    <xf numFmtId="0" fontId="132" fillId="45" borderId="0" applyNumberFormat="0" applyBorder="0" applyAlignment="0" applyProtection="0">
      <alignment vertical="center"/>
    </xf>
    <xf numFmtId="0" fontId="132" fillId="46" borderId="0" applyNumberFormat="0" applyBorder="0" applyAlignment="0" applyProtection="0">
      <alignment vertical="center"/>
    </xf>
    <xf numFmtId="0" fontId="77" fillId="47" borderId="0" applyNumberFormat="0" applyBorder="0" applyAlignment="0" applyProtection="0">
      <alignment vertical="center"/>
    </xf>
    <xf numFmtId="0" fontId="77" fillId="48" borderId="0" applyNumberFormat="0" applyBorder="0" applyAlignment="0" applyProtection="0">
      <alignment vertical="center"/>
    </xf>
    <xf numFmtId="0" fontId="132" fillId="49" borderId="0" applyNumberFormat="0" applyBorder="0" applyAlignment="0" applyProtection="0">
      <alignment vertical="center"/>
    </xf>
    <xf numFmtId="0" fontId="132" fillId="50" borderId="0" applyNumberFormat="0" applyBorder="0" applyAlignment="0" applyProtection="0">
      <alignment vertical="center"/>
    </xf>
    <xf numFmtId="0" fontId="77" fillId="51" borderId="0" applyNumberFormat="0" applyBorder="0" applyAlignment="0" applyProtection="0">
      <alignment vertical="center"/>
    </xf>
    <xf numFmtId="0" fontId="77" fillId="52" borderId="0" applyNumberFormat="0" applyBorder="0" applyAlignment="0" applyProtection="0">
      <alignment vertical="center"/>
    </xf>
    <xf numFmtId="0" fontId="132" fillId="53" borderId="0" applyNumberFormat="0" applyBorder="0" applyAlignment="0" applyProtection="0">
      <alignment vertical="center"/>
    </xf>
    <xf numFmtId="0" fontId="9" fillId="0" borderId="0"/>
    <xf numFmtId="0" fontId="45" fillId="0" borderId="258">
      <alignment horizontal="left" vertical="center"/>
    </xf>
    <xf numFmtId="10" fontId="44" fillId="3" borderId="254" applyNumberFormat="0" applyBorder="0" applyAlignment="0" applyProtection="0"/>
    <xf numFmtId="0" fontId="9" fillId="4" borderId="285" applyNumberFormat="0" applyFont="0" applyAlignment="0" applyProtection="0">
      <alignment vertical="center"/>
    </xf>
    <xf numFmtId="181" fontId="11" fillId="0" borderId="286" applyBorder="0">
      <alignment horizontal="center" vertical="center"/>
    </xf>
    <xf numFmtId="0" fontId="66" fillId="14" borderId="287" applyNumberFormat="0" applyAlignment="0" applyProtection="0">
      <alignment vertical="center"/>
    </xf>
    <xf numFmtId="0" fontId="71" fillId="0" borderId="288" applyNumberFormat="0" applyFill="0" applyAlignment="0" applyProtection="0">
      <alignment vertical="center"/>
    </xf>
    <xf numFmtId="0" fontId="72" fillId="14" borderId="289" applyNumberFormat="0" applyAlignment="0" applyProtection="0">
      <alignment vertical="center"/>
    </xf>
    <xf numFmtId="0" fontId="74" fillId="9" borderId="287" applyNumberFormat="0" applyAlignment="0" applyProtection="0">
      <alignment vertical="center"/>
    </xf>
    <xf numFmtId="0" fontId="9" fillId="4" borderId="285" applyNumberFormat="0" applyFont="0" applyAlignment="0" applyProtection="0">
      <alignment vertical="center"/>
    </xf>
    <xf numFmtId="0" fontId="46" fillId="4" borderId="285" applyNumberFormat="0" applyFont="0" applyAlignment="0" applyProtection="0">
      <alignment vertical="center"/>
    </xf>
    <xf numFmtId="0" fontId="81" fillId="10" borderId="287" applyNumberFormat="0" applyAlignment="0" applyProtection="0">
      <alignment vertical="center"/>
    </xf>
    <xf numFmtId="0" fontId="71" fillId="0" borderId="290" applyNumberFormat="0" applyFill="0" applyAlignment="0" applyProtection="0">
      <alignment vertical="center"/>
    </xf>
    <xf numFmtId="0" fontId="71" fillId="0" borderId="291" applyNumberFormat="0" applyFill="0" applyAlignment="0" applyProtection="0">
      <alignment vertical="center"/>
    </xf>
    <xf numFmtId="0" fontId="72" fillId="10" borderId="289" applyNumberFormat="0" applyAlignment="0" applyProtection="0">
      <alignment vertical="center"/>
    </xf>
    <xf numFmtId="0" fontId="74" fillId="15" borderId="287" applyNumberFormat="0" applyAlignment="0" applyProtection="0">
      <alignment vertical="center"/>
    </xf>
    <xf numFmtId="0" fontId="43" fillId="4" borderId="285" applyNumberFormat="0" applyFont="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18" fillId="4" borderId="285" applyNumberFormat="0" applyFont="0" applyAlignment="0" applyProtection="0">
      <alignment vertical="center"/>
    </xf>
    <xf numFmtId="6" fontId="7" fillId="0" borderId="0" applyFont="0" applyFill="0" applyBorder="0" applyAlignment="0" applyProtection="0"/>
    <xf numFmtId="0" fontId="6" fillId="0" borderId="0">
      <alignment vertical="center"/>
    </xf>
    <xf numFmtId="0" fontId="6" fillId="0" borderId="0">
      <alignment vertical="center"/>
    </xf>
    <xf numFmtId="0" fontId="6" fillId="29" borderId="231" applyNumberFormat="0" applyFont="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35" borderId="0" applyNumberFormat="0" applyBorder="0" applyAlignment="0" applyProtection="0">
      <alignment vertical="center"/>
    </xf>
    <xf numFmtId="0" fontId="6" fillId="36" borderId="0" applyNumberFormat="0" applyBorder="0" applyAlignment="0" applyProtection="0">
      <alignment vertical="center"/>
    </xf>
    <xf numFmtId="0" fontId="6" fillId="39" borderId="0" applyNumberFormat="0" applyBorder="0" applyAlignment="0" applyProtection="0">
      <alignment vertical="center"/>
    </xf>
    <xf numFmtId="0" fontId="6" fillId="40" borderId="0" applyNumberFormat="0" applyBorder="0" applyAlignment="0" applyProtection="0">
      <alignment vertical="center"/>
    </xf>
    <xf numFmtId="0" fontId="6" fillId="43" borderId="0" applyNumberFormat="0" applyBorder="0" applyAlignment="0" applyProtection="0">
      <alignment vertical="center"/>
    </xf>
    <xf numFmtId="0" fontId="6" fillId="44" borderId="0" applyNumberFormat="0" applyBorder="0" applyAlignment="0" applyProtection="0">
      <alignment vertical="center"/>
    </xf>
    <xf numFmtId="0" fontId="6" fillId="47" borderId="0" applyNumberFormat="0" applyBorder="0" applyAlignment="0" applyProtection="0">
      <alignment vertical="center"/>
    </xf>
    <xf numFmtId="0" fontId="6" fillId="48" borderId="0" applyNumberFormat="0" applyBorder="0" applyAlignment="0" applyProtection="0">
      <alignment vertical="center"/>
    </xf>
    <xf numFmtId="0" fontId="6" fillId="51" borderId="0" applyNumberFormat="0" applyBorder="0" applyAlignment="0" applyProtection="0">
      <alignment vertical="center"/>
    </xf>
    <xf numFmtId="0" fontId="6" fillId="52" borderId="0" applyNumberFormat="0" applyBorder="0" applyAlignment="0" applyProtection="0">
      <alignment vertical="center"/>
    </xf>
    <xf numFmtId="38" fontId="5" fillId="0" borderId="0" applyFont="0" applyFill="0" applyBorder="0" applyAlignment="0" applyProtection="0">
      <alignment vertical="center"/>
    </xf>
    <xf numFmtId="0" fontId="4" fillId="0" borderId="0">
      <alignment vertical="center"/>
    </xf>
    <xf numFmtId="0" fontId="46" fillId="4" borderId="316" applyNumberFormat="0" applyFont="0" applyAlignment="0" applyProtection="0">
      <alignment vertical="center"/>
    </xf>
    <xf numFmtId="0" fontId="18" fillId="4" borderId="352" applyNumberFormat="0" applyFont="0" applyAlignment="0" applyProtection="0">
      <alignment vertical="center"/>
    </xf>
    <xf numFmtId="0" fontId="74" fillId="15" borderId="329" applyNumberFormat="0" applyAlignment="0" applyProtection="0">
      <alignment vertical="center"/>
    </xf>
    <xf numFmtId="0" fontId="81" fillId="10" borderId="341" applyNumberFormat="0" applyAlignment="0" applyProtection="0">
      <alignment vertical="center"/>
    </xf>
    <xf numFmtId="0" fontId="74" fillId="9" borderId="341" applyNumberFormat="0" applyAlignment="0" applyProtection="0">
      <alignment vertical="center"/>
    </xf>
    <xf numFmtId="0" fontId="46" fillId="4" borderId="328" applyNumberFormat="0" applyFont="0" applyAlignment="0" applyProtection="0">
      <alignment vertical="center"/>
    </xf>
    <xf numFmtId="0" fontId="74" fillId="9" borderId="347" applyNumberFormat="0" applyAlignment="0" applyProtection="0">
      <alignment vertical="center"/>
    </xf>
    <xf numFmtId="0" fontId="18" fillId="4" borderId="334" applyNumberFormat="0" applyFont="0" applyAlignment="0" applyProtection="0">
      <alignment vertical="center"/>
    </xf>
    <xf numFmtId="0" fontId="46" fillId="4" borderId="352" applyNumberFormat="0" applyFont="0" applyAlignment="0" applyProtection="0">
      <alignment vertical="center"/>
    </xf>
    <xf numFmtId="0" fontId="66" fillId="14" borderId="317" applyNumberFormat="0" applyAlignment="0" applyProtection="0">
      <alignment vertical="center"/>
    </xf>
    <xf numFmtId="0" fontId="66" fillId="14" borderId="311" applyNumberFormat="0" applyAlignment="0" applyProtection="0">
      <alignment vertical="center"/>
    </xf>
    <xf numFmtId="0" fontId="72" fillId="14" borderId="343" applyNumberFormat="0" applyAlignment="0" applyProtection="0">
      <alignment vertical="center"/>
    </xf>
    <xf numFmtId="0" fontId="66" fillId="14" borderId="311" applyNumberFormat="0" applyAlignment="0" applyProtection="0">
      <alignment vertical="center"/>
    </xf>
    <xf numFmtId="0" fontId="81" fillId="10" borderId="323" applyNumberFormat="0" applyAlignment="0" applyProtection="0">
      <alignment vertical="center"/>
    </xf>
    <xf numFmtId="0" fontId="71" fillId="0" borderId="324" applyNumberFormat="0" applyFill="0" applyAlignment="0" applyProtection="0">
      <alignment vertical="center"/>
    </xf>
    <xf numFmtId="0" fontId="18" fillId="4" borderId="322" applyNumberFormat="0" applyFont="0" applyAlignment="0" applyProtection="0">
      <alignment vertical="center"/>
    </xf>
    <xf numFmtId="0" fontId="71" fillId="0" borderId="348" applyNumberFormat="0" applyFill="0" applyAlignment="0" applyProtection="0">
      <alignment vertical="center"/>
    </xf>
    <xf numFmtId="0" fontId="72" fillId="10" borderId="343" applyNumberFormat="0" applyAlignment="0" applyProtection="0">
      <alignment vertical="center"/>
    </xf>
    <xf numFmtId="0" fontId="72" fillId="14" borderId="313" applyNumberFormat="0" applyAlignment="0" applyProtection="0">
      <alignment vertical="center"/>
    </xf>
    <xf numFmtId="0" fontId="71" fillId="0" borderId="314" applyNumberFormat="0" applyFill="0" applyAlignment="0" applyProtection="0">
      <alignment vertical="center"/>
    </xf>
    <xf numFmtId="0" fontId="46" fillId="4" borderId="340" applyNumberFormat="0" applyFont="0" applyAlignment="0" applyProtection="0">
      <alignment vertical="center"/>
    </xf>
    <xf numFmtId="0" fontId="71" fillId="0" borderId="351" applyNumberFormat="0" applyFill="0" applyAlignment="0" applyProtection="0">
      <alignment vertical="center"/>
    </xf>
    <xf numFmtId="0" fontId="9" fillId="4" borderId="322" applyNumberFormat="0" applyFont="0" applyAlignment="0" applyProtection="0">
      <alignment vertical="center"/>
    </xf>
    <xf numFmtId="0" fontId="71" fillId="0" borderId="342" applyNumberFormat="0" applyFill="0" applyAlignment="0" applyProtection="0">
      <alignment vertical="center"/>
    </xf>
    <xf numFmtId="0" fontId="72" fillId="14" borderId="331" applyNumberFormat="0" applyAlignment="0" applyProtection="0">
      <alignment vertical="center"/>
    </xf>
    <xf numFmtId="0" fontId="71" fillId="0" borderId="314" applyNumberFormat="0" applyFill="0" applyAlignment="0" applyProtection="0">
      <alignment vertical="center"/>
    </xf>
    <xf numFmtId="0" fontId="9" fillId="4" borderId="328" applyNumberFormat="0" applyFont="0" applyAlignment="0" applyProtection="0">
      <alignment vertical="center"/>
    </xf>
    <xf numFmtId="0" fontId="72" fillId="14" borderId="325" applyNumberFormat="0" applyAlignment="0" applyProtection="0">
      <alignment vertical="center"/>
    </xf>
    <xf numFmtId="0" fontId="72" fillId="10" borderId="313" applyNumberFormat="0" applyAlignment="0" applyProtection="0">
      <alignment vertical="center"/>
    </xf>
    <xf numFmtId="0" fontId="71" fillId="0" borderId="350" applyNumberFormat="0" applyFill="0" applyAlignment="0" applyProtection="0">
      <alignment vertical="center"/>
    </xf>
    <xf numFmtId="0" fontId="72" fillId="10" borderId="319" applyNumberFormat="0" applyAlignment="0" applyProtection="0">
      <alignment vertical="center"/>
    </xf>
    <xf numFmtId="0" fontId="43" fillId="4" borderId="340" applyNumberFormat="0" applyFont="0" applyAlignment="0" applyProtection="0">
      <alignment vertical="center"/>
    </xf>
    <xf numFmtId="0" fontId="81" fillId="10" borderId="329" applyNumberFormat="0" applyAlignment="0" applyProtection="0">
      <alignment vertical="center"/>
    </xf>
    <xf numFmtId="0" fontId="72" fillId="14" borderId="325" applyNumberFormat="0" applyAlignment="0" applyProtection="0">
      <alignment vertical="center"/>
    </xf>
    <xf numFmtId="0" fontId="43" fillId="4" borderId="316" applyNumberFormat="0" applyFont="0" applyAlignment="0" applyProtection="0">
      <alignment vertical="center"/>
    </xf>
    <xf numFmtId="0" fontId="81" fillId="10" borderId="329" applyNumberFormat="0" applyAlignment="0" applyProtection="0">
      <alignment vertical="center"/>
    </xf>
    <xf numFmtId="0" fontId="18" fillId="4" borderId="316" applyNumberFormat="0" applyFont="0" applyAlignment="0" applyProtection="0">
      <alignment vertical="center"/>
    </xf>
    <xf numFmtId="0" fontId="46" fillId="4" borderId="322" applyNumberFormat="0" applyFont="0" applyAlignment="0" applyProtection="0">
      <alignment vertical="center"/>
    </xf>
    <xf numFmtId="0" fontId="71" fillId="0" borderId="330" applyNumberFormat="0" applyFill="0" applyAlignment="0" applyProtection="0">
      <alignment vertical="center"/>
    </xf>
    <xf numFmtId="0" fontId="71" fillId="0" borderId="350" applyNumberFormat="0" applyFill="0" applyAlignment="0" applyProtection="0">
      <alignment vertical="center"/>
    </xf>
    <xf numFmtId="0" fontId="9" fillId="4" borderId="340" applyNumberFormat="0" applyFont="0" applyAlignment="0" applyProtection="0">
      <alignment vertical="center"/>
    </xf>
    <xf numFmtId="0" fontId="71" fillId="0" borderId="324" applyNumberFormat="0" applyFill="0" applyAlignment="0" applyProtection="0">
      <alignment vertical="center"/>
    </xf>
    <xf numFmtId="0" fontId="72" fillId="14" borderId="319" applyNumberFormat="0" applyAlignment="0" applyProtection="0">
      <alignment vertical="center"/>
    </xf>
    <xf numFmtId="0" fontId="74" fillId="9" borderId="341" applyNumberFormat="0" applyAlignment="0" applyProtection="0">
      <alignment vertical="center"/>
    </xf>
    <xf numFmtId="0" fontId="81" fillId="10" borderId="317" applyNumberFormat="0" applyAlignment="0" applyProtection="0">
      <alignment vertical="center"/>
    </xf>
    <xf numFmtId="0" fontId="74" fillId="15" borderId="323" applyNumberFormat="0" applyAlignment="0" applyProtection="0">
      <alignment vertical="center"/>
    </xf>
    <xf numFmtId="0" fontId="72" fillId="14" borderId="337" applyNumberFormat="0" applyAlignment="0" applyProtection="0">
      <alignment vertical="center"/>
    </xf>
    <xf numFmtId="0" fontId="74" fillId="9" borderId="329" applyNumberFormat="0" applyAlignment="0" applyProtection="0">
      <alignment vertical="center"/>
    </xf>
    <xf numFmtId="0" fontId="71" fillId="0" borderId="344" applyNumberFormat="0" applyFill="0" applyAlignment="0" applyProtection="0">
      <alignment vertical="center"/>
    </xf>
    <xf numFmtId="0" fontId="71" fillId="0" borderId="333" applyNumberFormat="0" applyFill="0" applyAlignment="0" applyProtection="0">
      <alignment vertical="center"/>
    </xf>
    <xf numFmtId="0" fontId="71" fillId="0" borderId="336" applyNumberFormat="0" applyFill="0" applyAlignment="0" applyProtection="0">
      <alignment vertical="center"/>
    </xf>
    <xf numFmtId="0" fontId="18" fillId="4" borderId="346" applyNumberFormat="0" applyFont="0" applyAlignment="0" applyProtection="0">
      <alignment vertical="center"/>
    </xf>
    <xf numFmtId="0" fontId="71" fillId="0" borderId="324" applyNumberFormat="0" applyFill="0" applyAlignment="0" applyProtection="0">
      <alignment vertical="center"/>
    </xf>
    <xf numFmtId="0" fontId="74" fillId="15" borderId="329" applyNumberFormat="0" applyAlignment="0" applyProtection="0">
      <alignment vertical="center"/>
    </xf>
    <xf numFmtId="0" fontId="74" fillId="9" borderId="311" applyNumberFormat="0" applyAlignment="0" applyProtection="0">
      <alignment vertical="center"/>
    </xf>
    <xf numFmtId="0" fontId="9" fillId="4" borderId="334" applyNumberFormat="0" applyFont="0" applyAlignment="0" applyProtection="0">
      <alignment vertical="center"/>
    </xf>
    <xf numFmtId="0" fontId="71" fillId="0" borderId="320" applyNumberFormat="0" applyFill="0" applyAlignment="0" applyProtection="0">
      <alignment vertical="center"/>
    </xf>
    <xf numFmtId="0" fontId="71" fillId="0" borderId="342" applyNumberFormat="0" applyFill="0" applyAlignment="0" applyProtection="0">
      <alignment vertical="center"/>
    </xf>
    <xf numFmtId="0" fontId="66" fillId="14" borderId="329" applyNumberFormat="0" applyAlignment="0" applyProtection="0">
      <alignment vertical="center"/>
    </xf>
    <xf numFmtId="0" fontId="66" fillId="14" borderId="317" applyNumberFormat="0" applyAlignment="0" applyProtection="0">
      <alignment vertical="center"/>
    </xf>
    <xf numFmtId="0" fontId="81" fillId="10" borderId="335" applyNumberFormat="0" applyAlignment="0" applyProtection="0">
      <alignment vertical="center"/>
    </xf>
    <xf numFmtId="0" fontId="74" fillId="9" borderId="317" applyNumberFormat="0" applyAlignment="0" applyProtection="0">
      <alignment vertical="center"/>
    </xf>
    <xf numFmtId="0" fontId="66" fillId="14" borderId="323" applyNumberFormat="0" applyAlignment="0" applyProtection="0">
      <alignment vertical="center"/>
    </xf>
    <xf numFmtId="0" fontId="74" fillId="9" borderId="311" applyNumberFormat="0" applyAlignment="0" applyProtection="0">
      <alignment vertical="center"/>
    </xf>
    <xf numFmtId="0" fontId="74" fillId="9" borderId="329" applyNumberFormat="0" applyAlignment="0" applyProtection="0">
      <alignment vertical="center"/>
    </xf>
    <xf numFmtId="0" fontId="71" fillId="0" borderId="330" applyNumberFormat="0" applyFill="0" applyAlignment="0" applyProtection="0">
      <alignment vertical="center"/>
    </xf>
    <xf numFmtId="0" fontId="71" fillId="0" borderId="336" applyNumberFormat="0" applyFill="0" applyAlignment="0" applyProtection="0">
      <alignment vertical="center"/>
    </xf>
    <xf numFmtId="0" fontId="72" fillId="10" borderId="337" applyNumberFormat="0" applyAlignment="0" applyProtection="0">
      <alignment vertical="center"/>
    </xf>
    <xf numFmtId="0" fontId="71" fillId="0" borderId="327" applyNumberFormat="0" applyFill="0" applyAlignment="0" applyProtection="0">
      <alignment vertical="center"/>
    </xf>
    <xf numFmtId="0" fontId="66" fillId="14" borderId="341" applyNumberFormat="0" applyAlignment="0" applyProtection="0">
      <alignment vertical="center"/>
    </xf>
    <xf numFmtId="0" fontId="71" fillId="0" borderId="327" applyNumberFormat="0" applyFill="0" applyAlignment="0" applyProtection="0">
      <alignment vertical="center"/>
    </xf>
    <xf numFmtId="0" fontId="71" fillId="0" borderId="321" applyNumberFormat="0" applyFill="0" applyAlignment="0" applyProtection="0">
      <alignment vertical="center"/>
    </xf>
    <xf numFmtId="0" fontId="72" fillId="10" borderId="331" applyNumberFormat="0" applyAlignment="0" applyProtection="0">
      <alignment vertical="center"/>
    </xf>
    <xf numFmtId="0" fontId="71" fillId="0" borderId="321" applyNumberFormat="0" applyFill="0" applyAlignment="0" applyProtection="0">
      <alignment vertical="center"/>
    </xf>
    <xf numFmtId="38" fontId="3" fillId="0" borderId="0" applyFont="0" applyFill="0" applyBorder="0" applyAlignment="0" applyProtection="0">
      <alignment vertical="center"/>
    </xf>
    <xf numFmtId="0" fontId="71" fillId="0" borderId="338" applyNumberFormat="0" applyFill="0" applyAlignment="0" applyProtection="0">
      <alignment vertical="center"/>
    </xf>
    <xf numFmtId="0" fontId="71" fillId="0" borderId="326" applyNumberFormat="0" applyFill="0" applyAlignment="0" applyProtection="0">
      <alignment vertical="center"/>
    </xf>
    <xf numFmtId="0" fontId="71" fillId="0" borderId="318" applyNumberFormat="0" applyFill="0" applyAlignment="0" applyProtection="0">
      <alignment vertical="center"/>
    </xf>
    <xf numFmtId="0" fontId="71" fillId="0" borderId="318" applyNumberFormat="0" applyFill="0" applyAlignment="0" applyProtection="0">
      <alignment vertical="center"/>
    </xf>
    <xf numFmtId="0" fontId="71" fillId="0" borderId="336" applyNumberFormat="0" applyFill="0" applyAlignment="0" applyProtection="0">
      <alignment vertical="center"/>
    </xf>
    <xf numFmtId="0" fontId="74" fillId="15" borderId="311" applyNumberFormat="0" applyAlignment="0" applyProtection="0">
      <alignment vertical="center"/>
    </xf>
    <xf numFmtId="0" fontId="71" fillId="0" borderId="345" applyNumberFormat="0" applyFill="0" applyAlignment="0" applyProtection="0">
      <alignment vertical="center"/>
    </xf>
    <xf numFmtId="0" fontId="18" fillId="4" borderId="340" applyNumberFormat="0" applyFont="0" applyAlignment="0" applyProtection="0">
      <alignment vertical="center"/>
    </xf>
    <xf numFmtId="0" fontId="71" fillId="0" borderId="348" applyNumberFormat="0" applyFill="0" applyAlignment="0" applyProtection="0">
      <alignment vertical="center"/>
    </xf>
    <xf numFmtId="0" fontId="74" fillId="9" borderId="335" applyNumberFormat="0" applyAlignment="0" applyProtection="0">
      <alignment vertical="center"/>
    </xf>
    <xf numFmtId="0" fontId="71" fillId="0" borderId="339" applyNumberFormat="0" applyFill="0" applyAlignment="0" applyProtection="0">
      <alignment vertical="center"/>
    </xf>
    <xf numFmtId="0" fontId="71" fillId="0" borderId="326" applyNumberFormat="0" applyFill="0" applyAlignment="0" applyProtection="0">
      <alignment vertical="center"/>
    </xf>
    <xf numFmtId="0" fontId="46" fillId="4" borderId="346" applyNumberFormat="0" applyFont="0" applyAlignment="0" applyProtection="0">
      <alignment vertical="center"/>
    </xf>
    <xf numFmtId="0" fontId="74" fillId="15" borderId="335" applyNumberFormat="0" applyAlignment="0" applyProtection="0">
      <alignment vertical="center"/>
    </xf>
    <xf numFmtId="0" fontId="71" fillId="0" borderId="321" applyNumberFormat="0" applyFill="0" applyAlignment="0" applyProtection="0">
      <alignment vertical="center"/>
    </xf>
    <xf numFmtId="0" fontId="71" fillId="0" borderId="348" applyNumberFormat="0" applyFill="0" applyAlignment="0" applyProtection="0">
      <alignment vertical="center"/>
    </xf>
    <xf numFmtId="0" fontId="18" fillId="4" borderId="322" applyNumberFormat="0" applyFont="0" applyAlignment="0" applyProtection="0">
      <alignment vertical="center"/>
    </xf>
    <xf numFmtId="0" fontId="18" fillId="4" borderId="334" applyNumberFormat="0" applyFont="0" applyAlignment="0" applyProtection="0">
      <alignment vertical="center"/>
    </xf>
    <xf numFmtId="0" fontId="71" fillId="0" borderId="315" applyNumberFormat="0" applyFill="0" applyAlignment="0" applyProtection="0">
      <alignment vertical="center"/>
    </xf>
    <xf numFmtId="38" fontId="3" fillId="0" borderId="0" applyFont="0" applyFill="0" applyBorder="0" applyAlignment="0" applyProtection="0">
      <alignment vertical="center"/>
    </xf>
    <xf numFmtId="0" fontId="74" fillId="9" borderId="335" applyNumberFormat="0" applyAlignment="0" applyProtection="0">
      <alignment vertical="center"/>
    </xf>
    <xf numFmtId="6" fontId="7" fillId="0" borderId="0" applyFont="0" applyFill="0" applyBorder="0" applyAlignment="0" applyProtection="0"/>
    <xf numFmtId="0" fontId="3" fillId="0" borderId="0">
      <alignment vertical="center"/>
    </xf>
    <xf numFmtId="0" fontId="3" fillId="0" borderId="0">
      <alignment vertical="center"/>
    </xf>
    <xf numFmtId="0" fontId="72" fillId="10" borderId="331" applyNumberFormat="0" applyAlignment="0" applyProtection="0">
      <alignment vertical="center"/>
    </xf>
    <xf numFmtId="0" fontId="9" fillId="4" borderId="316" applyNumberFormat="0" applyFont="0" applyAlignment="0" applyProtection="0">
      <alignment vertical="center"/>
    </xf>
    <xf numFmtId="0" fontId="71" fillId="0" borderId="344" applyNumberFormat="0" applyFill="0" applyAlignment="0" applyProtection="0">
      <alignment vertical="center"/>
    </xf>
    <xf numFmtId="0" fontId="3" fillId="29" borderId="231" applyNumberFormat="0" applyFont="0" applyAlignment="0" applyProtection="0">
      <alignment vertical="center"/>
    </xf>
    <xf numFmtId="0" fontId="74" fillId="15" borderId="341" applyNumberFormat="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71" fillId="0" borderId="333" applyNumberFormat="0" applyFill="0" applyAlignment="0" applyProtection="0">
      <alignment vertical="center"/>
    </xf>
    <xf numFmtId="0" fontId="3" fillId="35" borderId="0" applyNumberFormat="0" applyBorder="0" applyAlignment="0" applyProtection="0">
      <alignment vertical="center"/>
    </xf>
    <xf numFmtId="0" fontId="3" fillId="36" borderId="0" applyNumberFormat="0" applyBorder="0" applyAlignment="0" applyProtection="0">
      <alignment vertical="center"/>
    </xf>
    <xf numFmtId="0" fontId="9" fillId="4" borderId="334" applyNumberFormat="0" applyFont="0" applyAlignment="0" applyProtection="0">
      <alignment vertical="center"/>
    </xf>
    <xf numFmtId="0" fontId="72" fillId="14" borderId="319" applyNumberFormat="0" applyAlignment="0" applyProtection="0">
      <alignment vertical="center"/>
    </xf>
    <xf numFmtId="0" fontId="3" fillId="39" borderId="0" applyNumberFormat="0" applyBorder="0" applyAlignment="0" applyProtection="0">
      <alignment vertical="center"/>
    </xf>
    <xf numFmtId="0" fontId="3" fillId="40" borderId="0" applyNumberFormat="0" applyBorder="0" applyAlignment="0" applyProtection="0">
      <alignment vertical="center"/>
    </xf>
    <xf numFmtId="0" fontId="3" fillId="43" borderId="0" applyNumberFormat="0" applyBorder="0" applyAlignment="0" applyProtection="0">
      <alignment vertical="center"/>
    </xf>
    <xf numFmtId="0" fontId="3" fillId="44" borderId="0" applyNumberFormat="0" applyBorder="0" applyAlignment="0" applyProtection="0">
      <alignment vertical="center"/>
    </xf>
    <xf numFmtId="0" fontId="3" fillId="47" borderId="0" applyNumberFormat="0" applyBorder="0" applyAlignment="0" applyProtection="0">
      <alignment vertical="center"/>
    </xf>
    <xf numFmtId="0" fontId="3" fillId="48" borderId="0" applyNumberFormat="0" applyBorder="0" applyAlignment="0" applyProtection="0">
      <alignment vertical="center"/>
    </xf>
    <xf numFmtId="0" fontId="9" fillId="4" borderId="316" applyNumberFormat="0" applyFont="0" applyAlignment="0" applyProtection="0">
      <alignment vertical="center"/>
    </xf>
    <xf numFmtId="0" fontId="3" fillId="51" borderId="0" applyNumberFormat="0" applyBorder="0" applyAlignment="0" applyProtection="0">
      <alignment vertical="center"/>
    </xf>
    <xf numFmtId="0" fontId="3" fillId="52" borderId="0" applyNumberFormat="0" applyBorder="0" applyAlignment="0" applyProtection="0">
      <alignment vertical="center"/>
    </xf>
    <xf numFmtId="0" fontId="72" fillId="14" borderId="349" applyNumberFormat="0" applyAlignment="0" applyProtection="0">
      <alignment vertical="center"/>
    </xf>
    <xf numFmtId="0" fontId="74" fillId="15" borderId="311" applyNumberFormat="0" applyAlignment="0" applyProtection="0">
      <alignment vertical="center"/>
    </xf>
    <xf numFmtId="0" fontId="71" fillId="0" borderId="312" applyNumberFormat="0" applyFill="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72" fillId="10" borderId="325" applyNumberFormat="0" applyAlignment="0" applyProtection="0">
      <alignment vertical="center"/>
    </xf>
    <xf numFmtId="6" fontId="7" fillId="0" borderId="0" applyFont="0" applyFill="0" applyBorder="0" applyAlignment="0" applyProtection="0"/>
    <xf numFmtId="0" fontId="3" fillId="0" borderId="0">
      <alignment vertical="center"/>
    </xf>
    <xf numFmtId="0" fontId="3" fillId="0" borderId="0">
      <alignment vertical="center"/>
    </xf>
    <xf numFmtId="0" fontId="3" fillId="29" borderId="231" applyNumberFormat="0" applyFont="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35" borderId="0" applyNumberFormat="0" applyBorder="0" applyAlignment="0" applyProtection="0">
      <alignment vertical="center"/>
    </xf>
    <xf numFmtId="0" fontId="3" fillId="36" borderId="0" applyNumberFormat="0" applyBorder="0" applyAlignment="0" applyProtection="0">
      <alignment vertical="center"/>
    </xf>
    <xf numFmtId="0" fontId="3" fillId="39" borderId="0" applyNumberFormat="0" applyBorder="0" applyAlignment="0" applyProtection="0">
      <alignment vertical="center"/>
    </xf>
    <xf numFmtId="0" fontId="3" fillId="40" borderId="0" applyNumberFormat="0" applyBorder="0" applyAlignment="0" applyProtection="0">
      <alignment vertical="center"/>
    </xf>
    <xf numFmtId="0" fontId="3" fillId="43" borderId="0" applyNumberFormat="0" applyBorder="0" applyAlignment="0" applyProtection="0">
      <alignment vertical="center"/>
    </xf>
    <xf numFmtId="0" fontId="3" fillId="44" borderId="0" applyNumberFormat="0" applyBorder="0" applyAlignment="0" applyProtection="0">
      <alignment vertical="center"/>
    </xf>
    <xf numFmtId="0" fontId="3" fillId="47" borderId="0" applyNumberFormat="0" applyBorder="0" applyAlignment="0" applyProtection="0">
      <alignment vertical="center"/>
    </xf>
    <xf numFmtId="0" fontId="3" fillId="48" borderId="0" applyNumberFormat="0" applyBorder="0" applyAlignment="0" applyProtection="0">
      <alignment vertical="center"/>
    </xf>
    <xf numFmtId="0" fontId="3" fillId="51" borderId="0" applyNumberFormat="0" applyBorder="0" applyAlignment="0" applyProtection="0">
      <alignment vertical="center"/>
    </xf>
    <xf numFmtId="0" fontId="3" fillId="52" borderId="0" applyNumberFormat="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244"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0" fillId="18" borderId="0" applyNumberFormat="0" applyBorder="0" applyAlignment="0" applyProtection="0">
      <alignment vertical="center"/>
    </xf>
    <xf numFmtId="0" fontId="60" fillId="16" borderId="0" applyNumberFormat="0" applyBorder="0" applyAlignment="0" applyProtection="0">
      <alignment vertical="center"/>
    </xf>
    <xf numFmtId="0" fontId="60" fillId="58" borderId="0" applyNumberFormat="0" applyBorder="0" applyAlignment="0" applyProtection="0">
      <alignment vertical="center"/>
    </xf>
    <xf numFmtId="0" fontId="60" fillId="17" borderId="0" applyNumberFormat="0" applyBorder="0" applyAlignment="0" applyProtection="0">
      <alignment vertical="center"/>
    </xf>
    <xf numFmtId="0" fontId="60" fillId="61" borderId="0" applyNumberFormat="0" applyBorder="0" applyAlignment="0" applyProtection="0">
      <alignment vertical="center"/>
    </xf>
    <xf numFmtId="0" fontId="60" fillId="21" borderId="0" applyNumberFormat="0" applyBorder="0" applyAlignment="0" applyProtection="0">
      <alignment vertical="center"/>
    </xf>
    <xf numFmtId="0" fontId="60" fillId="59" borderId="0" applyNumberFormat="0" applyBorder="0" applyAlignment="0" applyProtection="0">
      <alignment vertical="center"/>
    </xf>
    <xf numFmtId="0" fontId="60" fillId="58" borderId="0" applyNumberFormat="0" applyBorder="0" applyAlignment="0" applyProtection="0">
      <alignment vertical="center"/>
    </xf>
    <xf numFmtId="0" fontId="60" fillId="56" borderId="0" applyNumberFormat="0" applyBorder="0" applyAlignment="0" applyProtection="0">
      <alignment vertical="center"/>
    </xf>
    <xf numFmtId="0" fontId="60" fillId="54" borderId="0" applyNumberFormat="0" applyBorder="0" applyAlignment="0" applyProtection="0">
      <alignment vertical="center"/>
    </xf>
    <xf numFmtId="0" fontId="60" fillId="57" borderId="0" applyNumberFormat="0" applyBorder="0" applyAlignment="0" applyProtection="0">
      <alignment vertical="center"/>
    </xf>
    <xf numFmtId="0" fontId="42" fillId="20" borderId="0" applyNumberFormat="0" applyBorder="0" applyAlignment="0" applyProtection="0">
      <alignment vertical="center"/>
    </xf>
    <xf numFmtId="0" fontId="42" fillId="55" borderId="0" applyNumberFormat="0" applyBorder="0" applyAlignment="0" applyProtection="0">
      <alignment vertical="center"/>
    </xf>
    <xf numFmtId="0" fontId="42" fillId="56" borderId="0" applyNumberFormat="0" applyBorder="0" applyAlignment="0" applyProtection="0">
      <alignment vertical="center"/>
    </xf>
    <xf numFmtId="0" fontId="42" fillId="54" borderId="0" applyNumberFormat="0" applyBorder="0" applyAlignment="0" applyProtection="0">
      <alignment vertical="center"/>
    </xf>
    <xf numFmtId="0" fontId="42" fillId="9" borderId="0" applyNumberFormat="0" applyBorder="0" applyAlignment="0" applyProtection="0">
      <alignment vertical="center"/>
    </xf>
    <xf numFmtId="0" fontId="42" fillId="8" borderId="0" applyNumberFormat="0" applyBorder="0" applyAlignment="0" applyProtection="0">
      <alignment vertical="center"/>
    </xf>
    <xf numFmtId="0" fontId="42" fillId="55" borderId="0" applyNumberFormat="0" applyBorder="0" applyAlignment="0" applyProtection="0">
      <alignment vertical="center"/>
    </xf>
    <xf numFmtId="0" fontId="42" fillId="12" borderId="0" applyNumberFormat="0" applyBorder="0" applyAlignment="0" applyProtection="0">
      <alignment vertical="center"/>
    </xf>
    <xf numFmtId="0" fontId="42" fillId="11" borderId="0" applyNumberFormat="0" applyBorder="0" applyAlignment="0" applyProtection="0">
      <alignment vertical="center"/>
    </xf>
    <xf numFmtId="0" fontId="42" fillId="22" borderId="0" applyNumberFormat="0" applyBorder="0" applyAlignment="0" applyProtection="0">
      <alignment vertical="center"/>
    </xf>
    <xf numFmtId="9" fontId="7" fillId="0" borderId="0" applyFont="0" applyFill="0" applyBorder="0" applyAlignment="0" applyProtection="0"/>
    <xf numFmtId="0" fontId="18" fillId="4" borderId="285" applyNumberFormat="0" applyFont="0" applyAlignment="0" applyProtection="0">
      <alignment vertical="center"/>
    </xf>
    <xf numFmtId="38" fontId="9" fillId="0" borderId="0" applyFont="0" applyFill="0" applyBorder="0" applyAlignment="0" applyProtection="0"/>
    <xf numFmtId="38" fontId="7" fillId="0" borderId="0" applyFont="0" applyFill="0" applyBorder="0" applyAlignment="0" applyProtection="0"/>
    <xf numFmtId="0" fontId="86" fillId="0" borderId="235" applyNumberFormat="0" applyFill="0" applyAlignment="0" applyProtection="0">
      <alignment vertical="center"/>
    </xf>
    <xf numFmtId="0" fontId="87" fillId="0" borderId="237" applyNumberFormat="0" applyFill="0" applyAlignment="0" applyProtection="0">
      <alignment vertical="center"/>
    </xf>
    <xf numFmtId="0" fontId="88" fillId="0" borderId="239" applyNumberFormat="0" applyFill="0" applyAlignment="0" applyProtection="0">
      <alignment vertical="center"/>
    </xf>
    <xf numFmtId="0" fontId="88" fillId="0" borderId="0" applyNumberFormat="0" applyFill="0" applyBorder="0" applyAlignment="0" applyProtection="0">
      <alignment vertical="center"/>
    </xf>
    <xf numFmtId="0" fontId="71" fillId="0" borderId="291" applyNumberFormat="0" applyFill="0" applyAlignment="0" applyProtection="0">
      <alignment vertical="center"/>
    </xf>
    <xf numFmtId="6" fontId="7" fillId="0" borderId="0" applyFont="0" applyFill="0" applyBorder="0" applyAlignment="0" applyProtection="0"/>
    <xf numFmtId="0" fontId="20" fillId="0" borderId="0"/>
    <xf numFmtId="0" fontId="9" fillId="0" borderId="0"/>
    <xf numFmtId="6" fontId="7" fillId="0" borderId="0" applyFont="0" applyFill="0" applyBorder="0" applyAlignment="0" applyProtection="0"/>
    <xf numFmtId="0" fontId="45" fillId="0" borderId="258">
      <alignment horizontal="left" vertical="center"/>
    </xf>
    <xf numFmtId="0" fontId="42" fillId="8" borderId="0" applyNumberFormat="0" applyBorder="0" applyAlignment="0" applyProtection="0">
      <alignment vertical="center"/>
    </xf>
    <xf numFmtId="0" fontId="42" fillId="9" borderId="0" applyNumberFormat="0" applyBorder="0" applyAlignment="0" applyProtection="0">
      <alignment vertical="center"/>
    </xf>
    <xf numFmtId="0" fontId="42" fillId="10" borderId="0" applyNumberFormat="0" applyBorder="0" applyAlignment="0" applyProtection="0">
      <alignment vertical="center"/>
    </xf>
    <xf numFmtId="0" fontId="42" fillId="4"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2" fillId="9"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60" fillId="13" borderId="0" applyNumberFormat="0" applyBorder="0" applyAlignment="0" applyProtection="0">
      <alignment vertical="center"/>
    </xf>
    <xf numFmtId="0" fontId="60" fillId="9" borderId="0" applyNumberFormat="0" applyBorder="0" applyAlignment="0" applyProtection="0">
      <alignment vertical="center"/>
    </xf>
    <xf numFmtId="0" fontId="60" fillId="14" borderId="0" applyNumberFormat="0" applyBorder="0" applyAlignment="0" applyProtection="0">
      <alignment vertical="center"/>
    </xf>
    <xf numFmtId="0" fontId="60" fillId="15" borderId="0" applyNumberFormat="0" applyBorder="0" applyAlignment="0" applyProtection="0">
      <alignment vertical="center"/>
    </xf>
    <xf numFmtId="0" fontId="60" fillId="17" borderId="0" applyNumberFormat="0" applyBorder="0" applyAlignment="0" applyProtection="0">
      <alignment vertical="center"/>
    </xf>
    <xf numFmtId="0" fontId="60" fillId="16" borderId="0" applyNumberFormat="0" applyBorder="0" applyAlignment="0" applyProtection="0">
      <alignment vertical="center"/>
    </xf>
    <xf numFmtId="0" fontId="60" fillId="18" borderId="0" applyNumberFormat="0" applyBorder="0" applyAlignment="0" applyProtection="0">
      <alignment vertical="center"/>
    </xf>
    <xf numFmtId="0" fontId="60" fillId="19" borderId="0" applyNumberFormat="0" applyBorder="0" applyAlignment="0" applyProtection="0">
      <alignment vertical="center"/>
    </xf>
    <xf numFmtId="0" fontId="60" fillId="20" borderId="0" applyNumberFormat="0" applyBorder="0" applyAlignment="0" applyProtection="0">
      <alignment vertical="center"/>
    </xf>
    <xf numFmtId="0" fontId="60" fillId="21" borderId="0" applyNumberFormat="0" applyBorder="0" applyAlignment="0" applyProtection="0">
      <alignment vertical="center"/>
    </xf>
    <xf numFmtId="0" fontId="60" fillId="17" borderId="0" applyNumberFormat="0" applyBorder="0" applyAlignment="0" applyProtection="0">
      <alignment vertical="center"/>
    </xf>
    <xf numFmtId="0" fontId="61" fillId="0" borderId="0" applyNumberFormat="0" applyFill="0" applyBorder="0" applyAlignment="0" applyProtection="0">
      <alignment vertical="center"/>
    </xf>
    <xf numFmtId="9" fontId="9" fillId="0" borderId="0" applyFont="0" applyFill="0" applyBorder="0" applyAlignment="0" applyProtection="0">
      <alignment vertical="center"/>
    </xf>
    <xf numFmtId="38" fontId="59" fillId="0" borderId="0" applyFont="0" applyFill="0" applyBorder="0" applyAlignment="0" applyProtection="0"/>
    <xf numFmtId="0" fontId="68" fillId="0" borderId="219" applyNumberFormat="0" applyFill="0" applyAlignment="0" applyProtection="0">
      <alignment vertical="center"/>
    </xf>
    <xf numFmtId="0" fontId="69" fillId="0" borderId="220" applyNumberFormat="0" applyFill="0" applyAlignment="0" applyProtection="0">
      <alignment vertical="center"/>
    </xf>
    <xf numFmtId="0" fontId="70" fillId="0" borderId="221" applyNumberFormat="0" applyFill="0" applyAlignment="0" applyProtection="0">
      <alignment vertical="center"/>
    </xf>
    <xf numFmtId="0" fontId="70" fillId="0" borderId="0" applyNumberFormat="0" applyFill="0" applyBorder="0" applyAlignment="0" applyProtection="0">
      <alignment vertical="center"/>
    </xf>
    <xf numFmtId="0" fontId="9" fillId="0" borderId="0">
      <alignment vertical="center"/>
    </xf>
    <xf numFmtId="0" fontId="18" fillId="0" borderId="0"/>
    <xf numFmtId="38" fontId="9"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6" fontId="7" fillId="0" borderId="0" applyFont="0" applyFill="0" applyBorder="0" applyAlignment="0" applyProtection="0"/>
    <xf numFmtId="0" fontId="3" fillId="0" borderId="0">
      <alignment vertical="center"/>
    </xf>
    <xf numFmtId="0" fontId="3" fillId="0" borderId="0">
      <alignment vertical="center"/>
    </xf>
    <xf numFmtId="0" fontId="3" fillId="29" borderId="231" applyNumberFormat="0" applyFont="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35" borderId="0" applyNumberFormat="0" applyBorder="0" applyAlignment="0" applyProtection="0">
      <alignment vertical="center"/>
    </xf>
    <xf numFmtId="0" fontId="3" fillId="36" borderId="0" applyNumberFormat="0" applyBorder="0" applyAlignment="0" applyProtection="0">
      <alignment vertical="center"/>
    </xf>
    <xf numFmtId="0" fontId="3" fillId="39" borderId="0" applyNumberFormat="0" applyBorder="0" applyAlignment="0" applyProtection="0">
      <alignment vertical="center"/>
    </xf>
    <xf numFmtId="0" fontId="3" fillId="40" borderId="0" applyNumberFormat="0" applyBorder="0" applyAlignment="0" applyProtection="0">
      <alignment vertical="center"/>
    </xf>
    <xf numFmtId="0" fontId="3" fillId="43" borderId="0" applyNumberFormat="0" applyBorder="0" applyAlignment="0" applyProtection="0">
      <alignment vertical="center"/>
    </xf>
    <xf numFmtId="0" fontId="3" fillId="44" borderId="0" applyNumberFormat="0" applyBorder="0" applyAlignment="0" applyProtection="0">
      <alignment vertical="center"/>
    </xf>
    <xf numFmtId="0" fontId="3" fillId="47" borderId="0" applyNumberFormat="0" applyBorder="0" applyAlignment="0" applyProtection="0">
      <alignment vertical="center"/>
    </xf>
    <xf numFmtId="0" fontId="3" fillId="48" borderId="0" applyNumberFormat="0" applyBorder="0" applyAlignment="0" applyProtection="0">
      <alignment vertical="center"/>
    </xf>
    <xf numFmtId="0" fontId="3" fillId="51" borderId="0" applyNumberFormat="0" applyBorder="0" applyAlignment="0" applyProtection="0">
      <alignment vertical="center"/>
    </xf>
    <xf numFmtId="0" fontId="3" fillId="52" borderId="0" applyNumberFormat="0" applyBorder="0" applyAlignment="0" applyProtection="0">
      <alignment vertical="center"/>
    </xf>
    <xf numFmtId="0" fontId="71" fillId="0" borderId="288" applyNumberFormat="0" applyFill="0" applyAlignment="0" applyProtection="0">
      <alignment vertical="center"/>
    </xf>
    <xf numFmtId="0" fontId="66" fillId="14" borderId="329" applyNumberFormat="0" applyAlignment="0" applyProtection="0">
      <alignment vertical="center"/>
    </xf>
    <xf numFmtId="0" fontId="71" fillId="0" borderId="318" applyNumberFormat="0" applyFill="0" applyAlignment="0" applyProtection="0">
      <alignment vertical="center"/>
    </xf>
    <xf numFmtId="0" fontId="72" fillId="14" borderId="313" applyNumberFormat="0" applyAlignment="0" applyProtection="0">
      <alignment vertical="center"/>
    </xf>
    <xf numFmtId="0" fontId="71" fillId="0" borderId="315" applyNumberFormat="0" applyFill="0" applyAlignment="0" applyProtection="0">
      <alignment vertical="center"/>
    </xf>
    <xf numFmtId="0" fontId="71" fillId="0" borderId="351" applyNumberFormat="0" applyFill="0" applyAlignment="0" applyProtection="0">
      <alignment vertical="center"/>
    </xf>
    <xf numFmtId="0" fontId="66" fillId="14" borderId="323" applyNumberFormat="0" applyAlignment="0" applyProtection="0">
      <alignment vertical="center"/>
    </xf>
    <xf numFmtId="0" fontId="71" fillId="0" borderId="345" applyNumberFormat="0" applyFill="0" applyAlignment="0" applyProtection="0">
      <alignment vertical="center"/>
    </xf>
    <xf numFmtId="0" fontId="72" fillId="10" borderId="319" applyNumberFormat="0" applyAlignment="0" applyProtection="0">
      <alignment vertical="center"/>
    </xf>
    <xf numFmtId="0" fontId="71" fillId="0" borderId="330" applyNumberFormat="0" applyFill="0" applyAlignment="0" applyProtection="0">
      <alignment vertical="center"/>
    </xf>
    <xf numFmtId="0" fontId="71" fillId="0" borderId="351" applyNumberFormat="0" applyFill="0" applyAlignment="0" applyProtection="0">
      <alignment vertical="center"/>
    </xf>
    <xf numFmtId="0" fontId="74" fillId="15" borderId="347" applyNumberFormat="0" applyAlignment="0" applyProtection="0">
      <alignment vertical="center"/>
    </xf>
    <xf numFmtId="0" fontId="74" fillId="9" borderId="347" applyNumberFormat="0" applyAlignment="0" applyProtection="0">
      <alignment vertical="center"/>
    </xf>
    <xf numFmtId="0" fontId="18" fillId="4" borderId="316" applyNumberFormat="0" applyFont="0" applyAlignment="0" applyProtection="0">
      <alignment vertical="center"/>
    </xf>
    <xf numFmtId="0" fontId="71" fillId="0" borderId="320" applyNumberFormat="0" applyFill="0" applyAlignment="0" applyProtection="0">
      <alignment vertical="center"/>
    </xf>
    <xf numFmtId="0" fontId="66" fillId="14" borderId="335" applyNumberFormat="0" applyAlignment="0" applyProtection="0">
      <alignment vertical="center"/>
    </xf>
    <xf numFmtId="0" fontId="9" fillId="4" borderId="328" applyNumberFormat="0" applyFont="0" applyAlignment="0" applyProtection="0">
      <alignment vertical="center"/>
    </xf>
    <xf numFmtId="0" fontId="81" fillId="10" borderId="311" applyNumberFormat="0" applyAlignment="0" applyProtection="0">
      <alignment vertical="center"/>
    </xf>
    <xf numFmtId="0" fontId="18" fillId="4" borderId="328" applyNumberFormat="0" applyFont="0" applyAlignment="0" applyProtection="0">
      <alignment vertical="center"/>
    </xf>
    <xf numFmtId="0" fontId="74" fillId="15" borderId="341" applyNumberFormat="0" applyAlignment="0" applyProtection="0">
      <alignment vertical="center"/>
    </xf>
    <xf numFmtId="0" fontId="43" fillId="4" borderId="322" applyNumberFormat="0" applyFont="0" applyAlignment="0" applyProtection="0">
      <alignment vertical="center"/>
    </xf>
    <xf numFmtId="0" fontId="18" fillId="4" borderId="352" applyNumberFormat="0" applyFont="0" applyAlignment="0" applyProtection="0">
      <alignment vertical="center"/>
    </xf>
    <xf numFmtId="0" fontId="9" fillId="4" borderId="346" applyNumberFormat="0" applyFont="0" applyAlignment="0" applyProtection="0">
      <alignment vertical="center"/>
    </xf>
    <xf numFmtId="0" fontId="72" fillId="10" borderId="313" applyNumberFormat="0" applyAlignment="0" applyProtection="0">
      <alignment vertical="center"/>
    </xf>
    <xf numFmtId="0" fontId="43" fillId="4" borderId="346" applyNumberFormat="0" applyFont="0" applyAlignment="0" applyProtection="0">
      <alignment vertical="center"/>
    </xf>
    <xf numFmtId="0" fontId="74" fillId="15" borderId="317" applyNumberFormat="0" applyAlignment="0" applyProtection="0">
      <alignment vertical="center"/>
    </xf>
    <xf numFmtId="0" fontId="43" fillId="4" borderId="334" applyNumberFormat="0" applyFont="0" applyAlignment="0" applyProtection="0">
      <alignment vertical="center"/>
    </xf>
    <xf numFmtId="0" fontId="71" fillId="0" borderId="338" applyNumberFormat="0" applyFill="0" applyAlignment="0" applyProtection="0">
      <alignment vertical="center"/>
    </xf>
    <xf numFmtId="0" fontId="74" fillId="9" borderId="323" applyNumberFormat="0" applyAlignment="0" applyProtection="0">
      <alignment vertical="center"/>
    </xf>
    <xf numFmtId="0" fontId="71" fillId="0" borderId="315" applyNumberFormat="0" applyFill="0" applyAlignment="0" applyProtection="0">
      <alignment vertical="center"/>
    </xf>
    <xf numFmtId="0" fontId="74" fillId="9" borderId="323" applyNumberFormat="0" applyAlignment="0" applyProtection="0">
      <alignment vertical="center"/>
    </xf>
    <xf numFmtId="0" fontId="72" fillId="14" borderId="349" applyNumberFormat="0" applyAlignment="0" applyProtection="0">
      <alignment vertical="center"/>
    </xf>
    <xf numFmtId="0" fontId="74" fillId="15" borderId="335" applyNumberFormat="0" applyAlignment="0" applyProtection="0">
      <alignment vertical="center"/>
    </xf>
    <xf numFmtId="0" fontId="71" fillId="0" borderId="312" applyNumberFormat="0" applyFill="0" applyAlignment="0" applyProtection="0">
      <alignment vertical="center"/>
    </xf>
    <xf numFmtId="0" fontId="81" fillId="10" borderId="323" applyNumberFormat="0" applyAlignment="0" applyProtection="0">
      <alignment vertical="center"/>
    </xf>
    <xf numFmtId="0" fontId="43" fillId="4" borderId="352" applyNumberFormat="0" applyFont="0" applyAlignment="0" applyProtection="0">
      <alignment vertical="center"/>
    </xf>
    <xf numFmtId="0" fontId="81" fillId="10" borderId="311" applyNumberFormat="0" applyAlignment="0" applyProtection="0">
      <alignment vertical="center"/>
    </xf>
    <xf numFmtId="0" fontId="74" fillId="15" borderId="317" applyNumberFormat="0" applyAlignment="0" applyProtection="0">
      <alignment vertical="center"/>
    </xf>
    <xf numFmtId="0" fontId="71" fillId="0" borderId="333" applyNumberFormat="0" applyFill="0" applyAlignment="0" applyProtection="0">
      <alignment vertical="center"/>
    </xf>
    <xf numFmtId="0" fontId="74" fillId="9" borderId="317" applyNumberFormat="0" applyAlignment="0" applyProtection="0">
      <alignment vertical="center"/>
    </xf>
    <xf numFmtId="0" fontId="72" fillId="10" borderId="349" applyNumberFormat="0" applyAlignment="0" applyProtection="0">
      <alignment vertical="center"/>
    </xf>
    <xf numFmtId="0" fontId="72" fillId="10" borderId="343" applyNumberFormat="0" applyAlignment="0" applyProtection="0">
      <alignment vertical="center"/>
    </xf>
    <xf numFmtId="0" fontId="71" fillId="0" borderId="312" applyNumberFormat="0" applyFill="0" applyAlignment="0" applyProtection="0">
      <alignment vertical="center"/>
    </xf>
    <xf numFmtId="0" fontId="9" fillId="4" borderId="352" applyNumberFormat="0" applyFont="0" applyAlignment="0" applyProtection="0">
      <alignment vertical="center"/>
    </xf>
    <xf numFmtId="0" fontId="72" fillId="10" borderId="337" applyNumberFormat="0" applyAlignment="0" applyProtection="0">
      <alignment vertical="center"/>
    </xf>
    <xf numFmtId="0" fontId="72" fillId="10" borderId="325" applyNumberFormat="0" applyAlignment="0" applyProtection="0">
      <alignment vertical="center"/>
    </xf>
    <xf numFmtId="0" fontId="74" fillId="15" borderId="323" applyNumberFormat="0" applyAlignment="0" applyProtection="0">
      <alignment vertical="center"/>
    </xf>
    <xf numFmtId="0" fontId="18" fillId="4" borderId="328" applyNumberFormat="0" applyFont="0" applyAlignment="0" applyProtection="0">
      <alignment vertical="center"/>
    </xf>
    <xf numFmtId="0" fontId="46" fillId="4" borderId="334" applyNumberFormat="0" applyFont="0" applyAlignment="0" applyProtection="0">
      <alignment vertical="center"/>
    </xf>
    <xf numFmtId="0" fontId="81" fillId="10" borderId="341" applyNumberFormat="0" applyAlignment="0" applyProtection="0">
      <alignment vertical="center"/>
    </xf>
    <xf numFmtId="0" fontId="71" fillId="0" borderId="332" applyNumberFormat="0" applyFill="0" applyAlignment="0" applyProtection="0">
      <alignment vertical="center"/>
    </xf>
    <xf numFmtId="0" fontId="72" fillId="14" borderId="343" applyNumberFormat="0" applyAlignment="0" applyProtection="0">
      <alignment vertical="center"/>
    </xf>
    <xf numFmtId="0" fontId="9" fillId="4" borderId="352" applyNumberFormat="0" applyFont="0" applyAlignment="0" applyProtection="0">
      <alignment vertical="center"/>
    </xf>
    <xf numFmtId="0" fontId="66" fillId="14" borderId="347" applyNumberFormat="0" applyAlignment="0" applyProtection="0">
      <alignment vertical="center"/>
    </xf>
    <xf numFmtId="0" fontId="9" fillId="4" borderId="346" applyNumberFormat="0" applyFont="0" applyAlignment="0" applyProtection="0">
      <alignment vertical="center"/>
    </xf>
    <xf numFmtId="0" fontId="43" fillId="4" borderId="328" applyNumberFormat="0" applyFont="0" applyAlignment="0" applyProtection="0">
      <alignment vertical="center"/>
    </xf>
    <xf numFmtId="0" fontId="74" fillId="15" borderId="347" applyNumberFormat="0" applyAlignment="0" applyProtection="0">
      <alignment vertical="center"/>
    </xf>
    <xf numFmtId="0" fontId="72" fillId="14" borderId="331" applyNumberFormat="0" applyAlignment="0" applyProtection="0">
      <alignment vertical="center"/>
    </xf>
    <xf numFmtId="0" fontId="66" fillId="14" borderId="341" applyNumberFormat="0" applyAlignment="0" applyProtection="0">
      <alignment vertical="center"/>
    </xf>
    <xf numFmtId="0" fontId="9" fillId="4" borderId="340" applyNumberFormat="0" applyFont="0" applyAlignment="0" applyProtection="0">
      <alignment vertical="center"/>
    </xf>
    <xf numFmtId="0" fontId="71" fillId="0" borderId="345" applyNumberFormat="0" applyFill="0" applyAlignment="0" applyProtection="0">
      <alignment vertical="center"/>
    </xf>
    <xf numFmtId="0" fontId="81" fillId="10" borderId="317" applyNumberFormat="0" applyAlignment="0" applyProtection="0">
      <alignment vertical="center"/>
    </xf>
    <xf numFmtId="0" fontId="9" fillId="4" borderId="322" applyNumberFormat="0" applyFont="0" applyAlignment="0" applyProtection="0">
      <alignment vertical="center"/>
    </xf>
    <xf numFmtId="0" fontId="18" fillId="4" borderId="346" applyNumberFormat="0" applyFont="0" applyAlignment="0" applyProtection="0">
      <alignment vertical="center"/>
    </xf>
    <xf numFmtId="0" fontId="71" fillId="0" borderId="327" applyNumberFormat="0" applyFill="0" applyAlignment="0" applyProtection="0">
      <alignment vertical="center"/>
    </xf>
    <xf numFmtId="0" fontId="81" fillId="10" borderId="335" applyNumberFormat="0" applyAlignment="0" applyProtection="0">
      <alignment vertical="center"/>
    </xf>
    <xf numFmtId="0" fontId="72" fillId="14" borderId="337" applyNumberFormat="0" applyAlignment="0" applyProtection="0">
      <alignment vertical="center"/>
    </xf>
    <xf numFmtId="0" fontId="71" fillId="0" borderId="339" applyNumberFormat="0" applyFill="0" applyAlignment="0" applyProtection="0">
      <alignment vertical="center"/>
    </xf>
    <xf numFmtId="0" fontId="66" fillId="14" borderId="335" applyNumberFormat="0" applyAlignment="0" applyProtection="0">
      <alignment vertical="center"/>
    </xf>
    <xf numFmtId="0" fontId="71" fillId="0" borderId="332" applyNumberFormat="0" applyFill="0" applyAlignment="0" applyProtection="0">
      <alignment vertical="center"/>
    </xf>
    <xf numFmtId="0" fontId="18" fillId="4" borderId="340" applyNumberFormat="0" applyFont="0" applyAlignment="0" applyProtection="0">
      <alignment vertical="center"/>
    </xf>
    <xf numFmtId="0" fontId="66" fillId="14" borderId="347" applyNumberFormat="0" applyAlignment="0" applyProtection="0">
      <alignment vertical="center"/>
    </xf>
    <xf numFmtId="0" fontId="71" fillId="0" borderId="339" applyNumberFormat="0" applyFill="0" applyAlignment="0" applyProtection="0">
      <alignment vertical="center"/>
    </xf>
    <xf numFmtId="0" fontId="71" fillId="0" borderId="342" applyNumberFormat="0" applyFill="0" applyAlignment="0" applyProtection="0">
      <alignment vertical="center"/>
    </xf>
    <xf numFmtId="0" fontId="72" fillId="10" borderId="349" applyNumberFormat="0" applyAlignment="0" applyProtection="0">
      <alignment vertical="center"/>
    </xf>
    <xf numFmtId="0" fontId="81" fillId="10" borderId="347" applyNumberFormat="0" applyAlignment="0" applyProtection="0">
      <alignment vertical="center"/>
    </xf>
    <xf numFmtId="0" fontId="81" fillId="10" borderId="347" applyNumberFormat="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6" fontId="7" fillId="0" borderId="0" applyFont="0" applyFill="0" applyBorder="0" applyAlignment="0" applyProtection="0"/>
    <xf numFmtId="0" fontId="2" fillId="0" borderId="0">
      <alignment vertical="center"/>
    </xf>
    <xf numFmtId="0" fontId="2" fillId="0" borderId="0">
      <alignment vertical="center"/>
    </xf>
    <xf numFmtId="0" fontId="2" fillId="29" borderId="231" applyNumberFormat="0" applyFont="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35" borderId="0" applyNumberFormat="0" applyBorder="0" applyAlignment="0" applyProtection="0">
      <alignment vertical="center"/>
    </xf>
    <xf numFmtId="0" fontId="2" fillId="36" borderId="0" applyNumberFormat="0" applyBorder="0" applyAlignment="0" applyProtection="0">
      <alignment vertical="center"/>
    </xf>
    <xf numFmtId="0" fontId="2" fillId="39" borderId="0" applyNumberFormat="0" applyBorder="0" applyAlignment="0" applyProtection="0">
      <alignment vertical="center"/>
    </xf>
    <xf numFmtId="0" fontId="2" fillId="40" borderId="0" applyNumberFormat="0" applyBorder="0" applyAlignment="0" applyProtection="0">
      <alignment vertical="center"/>
    </xf>
    <xf numFmtId="0" fontId="2" fillId="43" borderId="0" applyNumberFormat="0" applyBorder="0" applyAlignment="0" applyProtection="0">
      <alignment vertical="center"/>
    </xf>
    <xf numFmtId="0" fontId="2" fillId="44" borderId="0" applyNumberFormat="0" applyBorder="0" applyAlignment="0" applyProtection="0">
      <alignment vertical="center"/>
    </xf>
    <xf numFmtId="0" fontId="2" fillId="47" borderId="0" applyNumberFormat="0" applyBorder="0" applyAlignment="0" applyProtection="0">
      <alignment vertical="center"/>
    </xf>
    <xf numFmtId="0" fontId="2" fillId="48" borderId="0" applyNumberFormat="0" applyBorder="0" applyAlignment="0" applyProtection="0">
      <alignment vertical="center"/>
    </xf>
    <xf numFmtId="0" fontId="2" fillId="51" borderId="0" applyNumberFormat="0" applyBorder="0" applyAlignment="0" applyProtection="0">
      <alignment vertical="center"/>
    </xf>
    <xf numFmtId="0" fontId="2" fillId="52" borderId="0" applyNumberFormat="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6" fontId="7" fillId="0" borderId="0" applyFont="0" applyFill="0" applyBorder="0" applyAlignment="0" applyProtection="0"/>
    <xf numFmtId="0" fontId="2" fillId="0" borderId="0">
      <alignment vertical="center"/>
    </xf>
    <xf numFmtId="0" fontId="2" fillId="0" borderId="0">
      <alignment vertical="center"/>
    </xf>
    <xf numFmtId="0" fontId="2" fillId="29" borderId="231" applyNumberFormat="0" applyFont="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35" borderId="0" applyNumberFormat="0" applyBorder="0" applyAlignment="0" applyProtection="0">
      <alignment vertical="center"/>
    </xf>
    <xf numFmtId="0" fontId="2" fillId="36" borderId="0" applyNumberFormat="0" applyBorder="0" applyAlignment="0" applyProtection="0">
      <alignment vertical="center"/>
    </xf>
    <xf numFmtId="0" fontId="2" fillId="39" borderId="0" applyNumberFormat="0" applyBorder="0" applyAlignment="0" applyProtection="0">
      <alignment vertical="center"/>
    </xf>
    <xf numFmtId="0" fontId="2" fillId="40" borderId="0" applyNumberFormat="0" applyBorder="0" applyAlignment="0" applyProtection="0">
      <alignment vertical="center"/>
    </xf>
    <xf numFmtId="0" fontId="2" fillId="43" borderId="0" applyNumberFormat="0" applyBorder="0" applyAlignment="0" applyProtection="0">
      <alignment vertical="center"/>
    </xf>
    <xf numFmtId="0" fontId="2" fillId="44" borderId="0" applyNumberFormat="0" applyBorder="0" applyAlignment="0" applyProtection="0">
      <alignment vertical="center"/>
    </xf>
    <xf numFmtId="0" fontId="2" fillId="47" borderId="0" applyNumberFormat="0" applyBorder="0" applyAlignment="0" applyProtection="0">
      <alignment vertical="center"/>
    </xf>
    <xf numFmtId="0" fontId="2" fillId="48" borderId="0" applyNumberFormat="0" applyBorder="0" applyAlignment="0" applyProtection="0">
      <alignment vertical="center"/>
    </xf>
    <xf numFmtId="0" fontId="2" fillId="51" borderId="0" applyNumberFormat="0" applyBorder="0" applyAlignment="0" applyProtection="0">
      <alignment vertical="center"/>
    </xf>
    <xf numFmtId="0" fontId="2" fillId="52" borderId="0" applyNumberFormat="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6" fontId="7" fillId="0" borderId="0" applyFont="0" applyFill="0" applyBorder="0" applyAlignment="0" applyProtection="0"/>
    <xf numFmtId="6" fontId="7"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6" fontId="7" fillId="0" borderId="0" applyFont="0" applyFill="0" applyBorder="0" applyAlignment="0" applyProtection="0"/>
    <xf numFmtId="0" fontId="2" fillId="0" borderId="0">
      <alignment vertical="center"/>
    </xf>
    <xf numFmtId="0" fontId="2" fillId="0" borderId="0">
      <alignment vertical="center"/>
    </xf>
    <xf numFmtId="0" fontId="2" fillId="29" borderId="231" applyNumberFormat="0" applyFont="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35" borderId="0" applyNumberFormat="0" applyBorder="0" applyAlignment="0" applyProtection="0">
      <alignment vertical="center"/>
    </xf>
    <xf numFmtId="0" fontId="2" fillId="36" borderId="0" applyNumberFormat="0" applyBorder="0" applyAlignment="0" applyProtection="0">
      <alignment vertical="center"/>
    </xf>
    <xf numFmtId="0" fontId="2" fillId="39" borderId="0" applyNumberFormat="0" applyBorder="0" applyAlignment="0" applyProtection="0">
      <alignment vertical="center"/>
    </xf>
    <xf numFmtId="0" fontId="2" fillId="40" borderId="0" applyNumberFormat="0" applyBorder="0" applyAlignment="0" applyProtection="0">
      <alignment vertical="center"/>
    </xf>
    <xf numFmtId="0" fontId="2" fillId="43" borderId="0" applyNumberFormat="0" applyBorder="0" applyAlignment="0" applyProtection="0">
      <alignment vertical="center"/>
    </xf>
    <xf numFmtId="0" fontId="2" fillId="44" borderId="0" applyNumberFormat="0" applyBorder="0" applyAlignment="0" applyProtection="0">
      <alignment vertical="center"/>
    </xf>
    <xf numFmtId="0" fontId="2" fillId="47" borderId="0" applyNumberFormat="0" applyBorder="0" applyAlignment="0" applyProtection="0">
      <alignment vertical="center"/>
    </xf>
    <xf numFmtId="0" fontId="2" fillId="48" borderId="0" applyNumberFormat="0" applyBorder="0" applyAlignment="0" applyProtection="0">
      <alignment vertical="center"/>
    </xf>
    <xf numFmtId="0" fontId="2" fillId="51" borderId="0" applyNumberFormat="0" applyBorder="0" applyAlignment="0" applyProtection="0">
      <alignment vertical="center"/>
    </xf>
    <xf numFmtId="0" fontId="2" fillId="52"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7" fillId="0" borderId="0" applyFont="0" applyFill="0" applyBorder="0" applyAlignment="0" applyProtection="0"/>
    <xf numFmtId="0" fontId="1" fillId="0" borderId="0">
      <alignment vertical="center"/>
    </xf>
    <xf numFmtId="0" fontId="1" fillId="0" borderId="0">
      <alignment vertical="center"/>
    </xf>
    <xf numFmtId="0" fontId="1" fillId="29" borderId="231" applyNumberFormat="0" applyFont="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35" borderId="0" applyNumberFormat="0" applyBorder="0" applyAlignment="0" applyProtection="0">
      <alignment vertical="center"/>
    </xf>
    <xf numFmtId="0" fontId="1" fillId="36" borderId="0" applyNumberFormat="0" applyBorder="0" applyAlignment="0" applyProtection="0">
      <alignment vertical="center"/>
    </xf>
    <xf numFmtId="0" fontId="1" fillId="39" borderId="0" applyNumberFormat="0" applyBorder="0" applyAlignment="0" applyProtection="0">
      <alignment vertical="center"/>
    </xf>
    <xf numFmtId="0" fontId="1" fillId="40" borderId="0" applyNumberFormat="0" applyBorder="0" applyAlignment="0" applyProtection="0">
      <alignment vertical="center"/>
    </xf>
    <xf numFmtId="0" fontId="1" fillId="43" borderId="0" applyNumberFormat="0" applyBorder="0" applyAlignment="0" applyProtection="0">
      <alignment vertical="center"/>
    </xf>
    <xf numFmtId="0" fontId="1" fillId="44" borderId="0" applyNumberFormat="0" applyBorder="0" applyAlignment="0" applyProtection="0">
      <alignment vertical="center"/>
    </xf>
    <xf numFmtId="0" fontId="1" fillId="47" borderId="0" applyNumberFormat="0" applyBorder="0" applyAlignment="0" applyProtection="0">
      <alignment vertical="center"/>
    </xf>
    <xf numFmtId="0" fontId="1" fillId="48" borderId="0" applyNumberFormat="0" applyBorder="0" applyAlignment="0" applyProtection="0">
      <alignment vertical="center"/>
    </xf>
    <xf numFmtId="0" fontId="1" fillId="51" borderId="0" applyNumberFormat="0" applyBorder="0" applyAlignment="0" applyProtection="0">
      <alignment vertical="center"/>
    </xf>
    <xf numFmtId="0" fontId="1" fillId="52"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7" fillId="0" borderId="0" applyFont="0" applyFill="0" applyBorder="0" applyAlignment="0" applyProtection="0"/>
    <xf numFmtId="0" fontId="1" fillId="0" borderId="0">
      <alignment vertical="center"/>
    </xf>
    <xf numFmtId="0" fontId="1" fillId="0" borderId="0">
      <alignment vertical="center"/>
    </xf>
    <xf numFmtId="0" fontId="1" fillId="29" borderId="231" applyNumberFormat="0" applyFont="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35" borderId="0" applyNumberFormat="0" applyBorder="0" applyAlignment="0" applyProtection="0">
      <alignment vertical="center"/>
    </xf>
    <xf numFmtId="0" fontId="1" fillId="36" borderId="0" applyNumberFormat="0" applyBorder="0" applyAlignment="0" applyProtection="0">
      <alignment vertical="center"/>
    </xf>
    <xf numFmtId="0" fontId="1" fillId="39" borderId="0" applyNumberFormat="0" applyBorder="0" applyAlignment="0" applyProtection="0">
      <alignment vertical="center"/>
    </xf>
    <xf numFmtId="0" fontId="1" fillId="40" borderId="0" applyNumberFormat="0" applyBorder="0" applyAlignment="0" applyProtection="0">
      <alignment vertical="center"/>
    </xf>
    <xf numFmtId="0" fontId="1" fillId="43" borderId="0" applyNumberFormat="0" applyBorder="0" applyAlignment="0" applyProtection="0">
      <alignment vertical="center"/>
    </xf>
    <xf numFmtId="0" fontId="1" fillId="44" borderId="0" applyNumberFormat="0" applyBorder="0" applyAlignment="0" applyProtection="0">
      <alignment vertical="center"/>
    </xf>
    <xf numFmtId="0" fontId="1" fillId="47" borderId="0" applyNumberFormat="0" applyBorder="0" applyAlignment="0" applyProtection="0">
      <alignment vertical="center"/>
    </xf>
    <xf numFmtId="0" fontId="1" fillId="48" borderId="0" applyNumberFormat="0" applyBorder="0" applyAlignment="0" applyProtection="0">
      <alignment vertical="center"/>
    </xf>
    <xf numFmtId="0" fontId="1" fillId="51" borderId="0" applyNumberFormat="0" applyBorder="0" applyAlignment="0" applyProtection="0">
      <alignment vertical="center"/>
    </xf>
    <xf numFmtId="0" fontId="1" fillId="52"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46" fillId="4" borderId="352" applyNumberFormat="0" applyFont="0" applyAlignment="0" applyProtection="0">
      <alignment vertical="center"/>
    </xf>
    <xf numFmtId="0" fontId="74" fillId="15" borderId="347" applyNumberFormat="0" applyAlignment="0" applyProtection="0">
      <alignment vertical="center"/>
    </xf>
    <xf numFmtId="0" fontId="81" fillId="10" borderId="347" applyNumberFormat="0" applyAlignment="0" applyProtection="0">
      <alignment vertical="center"/>
    </xf>
    <xf numFmtId="0" fontId="74" fillId="9" borderId="347" applyNumberFormat="0" applyAlignment="0" applyProtection="0">
      <alignment vertical="center"/>
    </xf>
    <xf numFmtId="0" fontId="46" fillId="4" borderId="352" applyNumberFormat="0" applyFont="0" applyAlignment="0" applyProtection="0">
      <alignment vertical="center"/>
    </xf>
    <xf numFmtId="0" fontId="18" fillId="4" borderId="352" applyNumberFormat="0" applyFont="0" applyAlignment="0" applyProtection="0">
      <alignment vertical="center"/>
    </xf>
    <xf numFmtId="0" fontId="66" fillId="14" borderId="347" applyNumberFormat="0" applyAlignment="0" applyProtection="0">
      <alignment vertical="center"/>
    </xf>
    <xf numFmtId="0" fontId="66" fillId="14" borderId="347" applyNumberFormat="0" applyAlignment="0" applyProtection="0">
      <alignment vertical="center"/>
    </xf>
    <xf numFmtId="0" fontId="72" fillId="14" borderId="349" applyNumberFormat="0" applyAlignment="0" applyProtection="0">
      <alignment vertical="center"/>
    </xf>
    <xf numFmtId="0" fontId="66" fillId="14" borderId="347" applyNumberFormat="0" applyAlignment="0" applyProtection="0">
      <alignment vertical="center"/>
    </xf>
    <xf numFmtId="0" fontId="81" fillId="10" borderId="347" applyNumberFormat="0" applyAlignment="0" applyProtection="0">
      <alignment vertical="center"/>
    </xf>
    <xf numFmtId="0" fontId="71" fillId="0" borderId="348" applyNumberFormat="0" applyFill="0" applyAlignment="0" applyProtection="0">
      <alignment vertical="center"/>
    </xf>
    <xf numFmtId="0" fontId="18" fillId="4" borderId="352" applyNumberFormat="0" applyFont="0" applyAlignment="0" applyProtection="0">
      <alignment vertical="center"/>
    </xf>
    <xf numFmtId="0" fontId="72" fillId="10" borderId="349" applyNumberFormat="0" applyAlignment="0" applyProtection="0">
      <alignment vertical="center"/>
    </xf>
    <xf numFmtId="0" fontId="72" fillId="14" borderId="349" applyNumberFormat="0" applyAlignment="0" applyProtection="0">
      <alignment vertical="center"/>
    </xf>
    <xf numFmtId="0" fontId="71" fillId="0" borderId="350" applyNumberFormat="0" applyFill="0" applyAlignment="0" applyProtection="0">
      <alignment vertical="center"/>
    </xf>
    <xf numFmtId="0" fontId="46" fillId="4" borderId="352" applyNumberFormat="0" applyFont="0" applyAlignment="0" applyProtection="0">
      <alignment vertical="center"/>
    </xf>
    <xf numFmtId="0" fontId="9" fillId="4" borderId="352" applyNumberFormat="0" applyFont="0" applyAlignment="0" applyProtection="0">
      <alignment vertical="center"/>
    </xf>
    <xf numFmtId="0" fontId="71" fillId="0" borderId="348" applyNumberFormat="0" applyFill="0" applyAlignment="0" applyProtection="0">
      <alignment vertical="center"/>
    </xf>
    <xf numFmtId="0" fontId="72" fillId="14" borderId="349" applyNumberFormat="0" applyAlignment="0" applyProtection="0">
      <alignment vertical="center"/>
    </xf>
    <xf numFmtId="0" fontId="71" fillId="0" borderId="350" applyNumberFormat="0" applyFill="0" applyAlignment="0" applyProtection="0">
      <alignment vertical="center"/>
    </xf>
    <xf numFmtId="0" fontId="9" fillId="4" borderId="352" applyNumberFormat="0" applyFont="0" applyAlignment="0" applyProtection="0">
      <alignment vertical="center"/>
    </xf>
    <xf numFmtId="0" fontId="72" fillId="14" borderId="349" applyNumberFormat="0" applyAlignment="0" applyProtection="0">
      <alignment vertical="center"/>
    </xf>
    <xf numFmtId="0" fontId="72" fillId="10" borderId="349" applyNumberFormat="0" applyAlignment="0" applyProtection="0">
      <alignment vertical="center"/>
    </xf>
    <xf numFmtId="0" fontId="72" fillId="10" borderId="349" applyNumberFormat="0" applyAlignment="0" applyProtection="0">
      <alignment vertical="center"/>
    </xf>
    <xf numFmtId="0" fontId="43" fillId="4" borderId="352" applyNumberFormat="0" applyFont="0" applyAlignment="0" applyProtection="0">
      <alignment vertical="center"/>
    </xf>
    <xf numFmtId="0" fontId="81" fillId="10" borderId="347" applyNumberFormat="0" applyAlignment="0" applyProtection="0">
      <alignment vertical="center"/>
    </xf>
    <xf numFmtId="0" fontId="72" fillId="14" borderId="349" applyNumberFormat="0" applyAlignment="0" applyProtection="0">
      <alignment vertical="center"/>
    </xf>
    <xf numFmtId="0" fontId="43" fillId="4" borderId="352" applyNumberFormat="0" applyFont="0" applyAlignment="0" applyProtection="0">
      <alignment vertical="center"/>
    </xf>
    <xf numFmtId="0" fontId="81" fillId="10" borderId="347" applyNumberFormat="0" applyAlignment="0" applyProtection="0">
      <alignment vertical="center"/>
    </xf>
    <xf numFmtId="0" fontId="18" fillId="4" borderId="352" applyNumberFormat="0" applyFont="0" applyAlignment="0" applyProtection="0">
      <alignment vertical="center"/>
    </xf>
    <xf numFmtId="0" fontId="46" fillId="4" borderId="352" applyNumberFormat="0" applyFont="0" applyAlignment="0" applyProtection="0">
      <alignment vertical="center"/>
    </xf>
    <xf numFmtId="0" fontId="71" fillId="0" borderId="348" applyNumberFormat="0" applyFill="0" applyAlignment="0" applyProtection="0">
      <alignment vertical="center"/>
    </xf>
    <xf numFmtId="0" fontId="9" fillId="4" borderId="352" applyNumberFormat="0" applyFont="0" applyAlignment="0" applyProtection="0">
      <alignment vertical="center"/>
    </xf>
    <xf numFmtId="0" fontId="71" fillId="0" borderId="348" applyNumberFormat="0" applyFill="0" applyAlignment="0" applyProtection="0">
      <alignment vertical="center"/>
    </xf>
    <xf numFmtId="0" fontId="72" fillId="14" borderId="349" applyNumberFormat="0" applyAlignment="0" applyProtection="0">
      <alignment vertical="center"/>
    </xf>
    <xf numFmtId="0" fontId="74" fillId="9" borderId="347" applyNumberFormat="0" applyAlignment="0" applyProtection="0">
      <alignment vertical="center"/>
    </xf>
    <xf numFmtId="0" fontId="81" fillId="10" borderId="347" applyNumberFormat="0" applyAlignment="0" applyProtection="0">
      <alignment vertical="center"/>
    </xf>
    <xf numFmtId="0" fontId="74" fillId="15" borderId="347" applyNumberFormat="0" applyAlignment="0" applyProtection="0">
      <alignment vertical="center"/>
    </xf>
    <xf numFmtId="0" fontId="72" fillId="14" borderId="349" applyNumberFormat="0" applyAlignment="0" applyProtection="0">
      <alignment vertical="center"/>
    </xf>
    <xf numFmtId="0" fontId="74" fillId="9" borderId="347" applyNumberFormat="0" applyAlignment="0" applyProtection="0">
      <alignment vertical="center"/>
    </xf>
    <xf numFmtId="0" fontId="71" fillId="0" borderId="350" applyNumberFormat="0" applyFill="0" applyAlignment="0" applyProtection="0">
      <alignment vertical="center"/>
    </xf>
    <xf numFmtId="0" fontId="71" fillId="0" borderId="351" applyNumberFormat="0" applyFill="0" applyAlignment="0" applyProtection="0">
      <alignment vertical="center"/>
    </xf>
    <xf numFmtId="0" fontId="71" fillId="0" borderId="348" applyNumberFormat="0" applyFill="0" applyAlignment="0" applyProtection="0">
      <alignment vertical="center"/>
    </xf>
    <xf numFmtId="0" fontId="18" fillId="4" borderId="352" applyNumberFormat="0" applyFont="0" applyAlignment="0" applyProtection="0">
      <alignment vertical="center"/>
    </xf>
    <xf numFmtId="0" fontId="71" fillId="0" borderId="348" applyNumberFormat="0" applyFill="0" applyAlignment="0" applyProtection="0">
      <alignment vertical="center"/>
    </xf>
    <xf numFmtId="0" fontId="74" fillId="15" borderId="347" applyNumberFormat="0" applyAlignment="0" applyProtection="0">
      <alignment vertical="center"/>
    </xf>
    <xf numFmtId="0" fontId="74" fillId="9" borderId="347" applyNumberFormat="0" applyAlignment="0" applyProtection="0">
      <alignment vertical="center"/>
    </xf>
    <xf numFmtId="0" fontId="9" fillId="4" borderId="352" applyNumberFormat="0" applyFont="0" applyAlignment="0" applyProtection="0">
      <alignment vertical="center"/>
    </xf>
    <xf numFmtId="0" fontId="71" fillId="0" borderId="350" applyNumberFormat="0" applyFill="0" applyAlignment="0" applyProtection="0">
      <alignment vertical="center"/>
    </xf>
    <xf numFmtId="0" fontId="71" fillId="0" borderId="348" applyNumberFormat="0" applyFill="0" applyAlignment="0" applyProtection="0">
      <alignment vertical="center"/>
    </xf>
    <xf numFmtId="0" fontId="66" fillId="14" borderId="347" applyNumberFormat="0" applyAlignment="0" applyProtection="0">
      <alignment vertical="center"/>
    </xf>
    <xf numFmtId="0" fontId="66" fillId="14" borderId="347" applyNumberFormat="0" applyAlignment="0" applyProtection="0">
      <alignment vertical="center"/>
    </xf>
    <xf numFmtId="0" fontId="81" fillId="10" borderId="347" applyNumberFormat="0" applyAlignment="0" applyProtection="0">
      <alignment vertical="center"/>
    </xf>
    <xf numFmtId="0" fontId="74" fillId="9" borderId="347" applyNumberFormat="0" applyAlignment="0" applyProtection="0">
      <alignment vertical="center"/>
    </xf>
    <xf numFmtId="0" fontId="66" fillId="14" borderId="347" applyNumberFormat="0" applyAlignment="0" applyProtection="0">
      <alignment vertical="center"/>
    </xf>
    <xf numFmtId="0" fontId="74" fillId="9" borderId="347" applyNumberFormat="0" applyAlignment="0" applyProtection="0">
      <alignment vertical="center"/>
    </xf>
    <xf numFmtId="0" fontId="74" fillId="9" borderId="347" applyNumberFormat="0" applyAlignment="0" applyProtection="0">
      <alignment vertical="center"/>
    </xf>
    <xf numFmtId="0" fontId="71" fillId="0" borderId="348" applyNumberFormat="0" applyFill="0" applyAlignment="0" applyProtection="0">
      <alignment vertical="center"/>
    </xf>
    <xf numFmtId="0" fontId="71" fillId="0" borderId="348" applyNumberFormat="0" applyFill="0" applyAlignment="0" applyProtection="0">
      <alignment vertical="center"/>
    </xf>
    <xf numFmtId="0" fontId="72" fillId="10" borderId="349" applyNumberFormat="0" applyAlignment="0" applyProtection="0">
      <alignment vertical="center"/>
    </xf>
    <xf numFmtId="0" fontId="71" fillId="0" borderId="351" applyNumberFormat="0" applyFill="0" applyAlignment="0" applyProtection="0">
      <alignment vertical="center"/>
    </xf>
    <xf numFmtId="0" fontId="66" fillId="14" borderId="347" applyNumberFormat="0" applyAlignment="0" applyProtection="0">
      <alignment vertical="center"/>
    </xf>
    <xf numFmtId="0" fontId="71" fillId="0" borderId="351" applyNumberFormat="0" applyFill="0" applyAlignment="0" applyProtection="0">
      <alignment vertical="center"/>
    </xf>
    <xf numFmtId="0" fontId="71" fillId="0" borderId="351" applyNumberFormat="0" applyFill="0" applyAlignment="0" applyProtection="0">
      <alignment vertical="center"/>
    </xf>
    <xf numFmtId="0" fontId="72" fillId="10" borderId="349" applyNumberFormat="0" applyAlignment="0" applyProtection="0">
      <alignment vertical="center"/>
    </xf>
    <xf numFmtId="0" fontId="71" fillId="0" borderId="351" applyNumberFormat="0" applyFill="0" applyAlignment="0" applyProtection="0">
      <alignment vertical="center"/>
    </xf>
    <xf numFmtId="38" fontId="1" fillId="0" borderId="0" applyFont="0" applyFill="0" applyBorder="0" applyAlignment="0" applyProtection="0">
      <alignment vertical="center"/>
    </xf>
    <xf numFmtId="0" fontId="71" fillId="0" borderId="350" applyNumberFormat="0" applyFill="0" applyAlignment="0" applyProtection="0">
      <alignment vertical="center"/>
    </xf>
    <xf numFmtId="0" fontId="71" fillId="0" borderId="350" applyNumberFormat="0" applyFill="0" applyAlignment="0" applyProtection="0">
      <alignment vertical="center"/>
    </xf>
    <xf numFmtId="0" fontId="71" fillId="0" borderId="348" applyNumberFormat="0" applyFill="0" applyAlignment="0" applyProtection="0">
      <alignment vertical="center"/>
    </xf>
    <xf numFmtId="0" fontId="71" fillId="0" borderId="348" applyNumberFormat="0" applyFill="0" applyAlignment="0" applyProtection="0">
      <alignment vertical="center"/>
    </xf>
    <xf numFmtId="0" fontId="71" fillId="0" borderId="348" applyNumberFormat="0" applyFill="0" applyAlignment="0" applyProtection="0">
      <alignment vertical="center"/>
    </xf>
    <xf numFmtId="0" fontId="74" fillId="15" borderId="347" applyNumberFormat="0" applyAlignment="0" applyProtection="0">
      <alignment vertical="center"/>
    </xf>
    <xf numFmtId="0" fontId="71" fillId="0" borderId="351" applyNumberFormat="0" applyFill="0" applyAlignment="0" applyProtection="0">
      <alignment vertical="center"/>
    </xf>
    <xf numFmtId="0" fontId="18" fillId="4" borderId="352" applyNumberFormat="0" applyFont="0" applyAlignment="0" applyProtection="0">
      <alignment vertical="center"/>
    </xf>
    <xf numFmtId="0" fontId="74" fillId="9" borderId="347" applyNumberFormat="0" applyAlignment="0" applyProtection="0">
      <alignment vertical="center"/>
    </xf>
    <xf numFmtId="0" fontId="71" fillId="0" borderId="351" applyNumberFormat="0" applyFill="0" applyAlignment="0" applyProtection="0">
      <alignment vertical="center"/>
    </xf>
    <xf numFmtId="0" fontId="71" fillId="0" borderId="350" applyNumberFormat="0" applyFill="0" applyAlignment="0" applyProtection="0">
      <alignment vertical="center"/>
    </xf>
    <xf numFmtId="0" fontId="46" fillId="4" borderId="352" applyNumberFormat="0" applyFont="0" applyAlignment="0" applyProtection="0">
      <alignment vertical="center"/>
    </xf>
    <xf numFmtId="0" fontId="74" fillId="15" borderId="347" applyNumberFormat="0" applyAlignment="0" applyProtection="0">
      <alignment vertical="center"/>
    </xf>
    <xf numFmtId="0" fontId="71" fillId="0" borderId="351" applyNumberFormat="0" applyFill="0" applyAlignment="0" applyProtection="0">
      <alignment vertical="center"/>
    </xf>
    <xf numFmtId="0" fontId="18" fillId="4" borderId="352" applyNumberFormat="0" applyFont="0" applyAlignment="0" applyProtection="0">
      <alignment vertical="center"/>
    </xf>
    <xf numFmtId="0" fontId="18" fillId="4" borderId="352" applyNumberFormat="0" applyFont="0" applyAlignment="0" applyProtection="0">
      <alignment vertical="center"/>
    </xf>
    <xf numFmtId="0" fontId="71" fillId="0" borderId="351" applyNumberFormat="0" applyFill="0" applyAlignment="0" applyProtection="0">
      <alignment vertical="center"/>
    </xf>
    <xf numFmtId="38" fontId="1" fillId="0" borderId="0" applyFont="0" applyFill="0" applyBorder="0" applyAlignment="0" applyProtection="0">
      <alignment vertical="center"/>
    </xf>
    <xf numFmtId="0" fontId="74" fillId="9" borderId="347" applyNumberFormat="0" applyAlignment="0" applyProtection="0">
      <alignment vertical="center"/>
    </xf>
    <xf numFmtId="6" fontId="7" fillId="0" borderId="0" applyFont="0" applyFill="0" applyBorder="0" applyAlignment="0" applyProtection="0"/>
    <xf numFmtId="0" fontId="1" fillId="0" borderId="0">
      <alignment vertical="center"/>
    </xf>
    <xf numFmtId="0" fontId="1" fillId="0" borderId="0">
      <alignment vertical="center"/>
    </xf>
    <xf numFmtId="0" fontId="72" fillId="10" borderId="349" applyNumberFormat="0" applyAlignment="0" applyProtection="0">
      <alignment vertical="center"/>
    </xf>
    <xf numFmtId="0" fontId="9" fillId="4" borderId="352" applyNumberFormat="0" applyFont="0" applyAlignment="0" applyProtection="0">
      <alignment vertical="center"/>
    </xf>
    <xf numFmtId="0" fontId="71" fillId="0" borderId="350" applyNumberFormat="0" applyFill="0" applyAlignment="0" applyProtection="0">
      <alignment vertical="center"/>
    </xf>
    <xf numFmtId="0" fontId="1" fillId="29" borderId="231" applyNumberFormat="0" applyFont="0" applyAlignment="0" applyProtection="0">
      <alignment vertical="center"/>
    </xf>
    <xf numFmtId="0" fontId="74" fillId="15" borderId="347" applyNumberFormat="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71" fillId="0" borderId="351" applyNumberFormat="0" applyFill="0" applyAlignment="0" applyProtection="0">
      <alignment vertical="center"/>
    </xf>
    <xf numFmtId="0" fontId="1" fillId="35" borderId="0" applyNumberFormat="0" applyBorder="0" applyAlignment="0" applyProtection="0">
      <alignment vertical="center"/>
    </xf>
    <xf numFmtId="0" fontId="1" fillId="36" borderId="0" applyNumberFormat="0" applyBorder="0" applyAlignment="0" applyProtection="0">
      <alignment vertical="center"/>
    </xf>
    <xf numFmtId="0" fontId="9" fillId="4" borderId="352" applyNumberFormat="0" applyFont="0" applyAlignment="0" applyProtection="0">
      <alignment vertical="center"/>
    </xf>
    <xf numFmtId="0" fontId="72" fillId="14" borderId="349" applyNumberFormat="0" applyAlignment="0" applyProtection="0">
      <alignment vertical="center"/>
    </xf>
    <xf numFmtId="0" fontId="1" fillId="39" borderId="0" applyNumberFormat="0" applyBorder="0" applyAlignment="0" applyProtection="0">
      <alignment vertical="center"/>
    </xf>
    <xf numFmtId="0" fontId="1" fillId="40" borderId="0" applyNumberFormat="0" applyBorder="0" applyAlignment="0" applyProtection="0">
      <alignment vertical="center"/>
    </xf>
    <xf numFmtId="0" fontId="1" fillId="43" borderId="0" applyNumberFormat="0" applyBorder="0" applyAlignment="0" applyProtection="0">
      <alignment vertical="center"/>
    </xf>
    <xf numFmtId="0" fontId="1" fillId="44" borderId="0" applyNumberFormat="0" applyBorder="0" applyAlignment="0" applyProtection="0">
      <alignment vertical="center"/>
    </xf>
    <xf numFmtId="0" fontId="1" fillId="47" borderId="0" applyNumberFormat="0" applyBorder="0" applyAlignment="0" applyProtection="0">
      <alignment vertical="center"/>
    </xf>
    <xf numFmtId="0" fontId="1" fillId="48" borderId="0" applyNumberFormat="0" applyBorder="0" applyAlignment="0" applyProtection="0">
      <alignment vertical="center"/>
    </xf>
    <xf numFmtId="0" fontId="9" fillId="4" borderId="352" applyNumberFormat="0" applyFont="0" applyAlignment="0" applyProtection="0">
      <alignment vertical="center"/>
    </xf>
    <xf numFmtId="0" fontId="1" fillId="51" borderId="0" applyNumberFormat="0" applyBorder="0" applyAlignment="0" applyProtection="0">
      <alignment vertical="center"/>
    </xf>
    <xf numFmtId="0" fontId="1" fillId="52" borderId="0" applyNumberFormat="0" applyBorder="0" applyAlignment="0" applyProtection="0">
      <alignment vertical="center"/>
    </xf>
    <xf numFmtId="0" fontId="74" fillId="15" borderId="347" applyNumberFormat="0" applyAlignment="0" applyProtection="0">
      <alignment vertical="center"/>
    </xf>
    <xf numFmtId="0" fontId="71" fillId="0" borderId="348" applyNumberFormat="0" applyFill="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72" fillId="10" borderId="349" applyNumberFormat="0" applyAlignment="0" applyProtection="0">
      <alignment vertical="center"/>
    </xf>
    <xf numFmtId="6" fontId="7" fillId="0" borderId="0" applyFont="0" applyFill="0" applyBorder="0" applyAlignment="0" applyProtection="0"/>
    <xf numFmtId="0" fontId="1" fillId="0" borderId="0">
      <alignment vertical="center"/>
    </xf>
    <xf numFmtId="0" fontId="1" fillId="0" borderId="0">
      <alignment vertical="center"/>
    </xf>
    <xf numFmtId="0" fontId="1" fillId="29" borderId="231" applyNumberFormat="0" applyFont="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35" borderId="0" applyNumberFormat="0" applyBorder="0" applyAlignment="0" applyProtection="0">
      <alignment vertical="center"/>
    </xf>
    <xf numFmtId="0" fontId="1" fillId="36" borderId="0" applyNumberFormat="0" applyBorder="0" applyAlignment="0" applyProtection="0">
      <alignment vertical="center"/>
    </xf>
    <xf numFmtId="0" fontId="1" fillId="39" borderId="0" applyNumberFormat="0" applyBorder="0" applyAlignment="0" applyProtection="0">
      <alignment vertical="center"/>
    </xf>
    <xf numFmtId="0" fontId="1" fillId="40" borderId="0" applyNumberFormat="0" applyBorder="0" applyAlignment="0" applyProtection="0">
      <alignment vertical="center"/>
    </xf>
    <xf numFmtId="0" fontId="1" fillId="43" borderId="0" applyNumberFormat="0" applyBorder="0" applyAlignment="0" applyProtection="0">
      <alignment vertical="center"/>
    </xf>
    <xf numFmtId="0" fontId="1" fillId="44" borderId="0" applyNumberFormat="0" applyBorder="0" applyAlignment="0" applyProtection="0">
      <alignment vertical="center"/>
    </xf>
    <xf numFmtId="0" fontId="1" fillId="47" borderId="0" applyNumberFormat="0" applyBorder="0" applyAlignment="0" applyProtection="0">
      <alignment vertical="center"/>
    </xf>
    <xf numFmtId="0" fontId="1" fillId="48" borderId="0" applyNumberFormat="0" applyBorder="0" applyAlignment="0" applyProtection="0">
      <alignment vertical="center"/>
    </xf>
    <xf numFmtId="0" fontId="1" fillId="51" borderId="0" applyNumberFormat="0" applyBorder="0" applyAlignment="0" applyProtection="0">
      <alignment vertical="center"/>
    </xf>
    <xf numFmtId="0" fontId="1" fillId="52"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6" fontId="7" fillId="0" borderId="0" applyFont="0" applyFill="0" applyBorder="0" applyAlignment="0" applyProtection="0"/>
    <xf numFmtId="6" fontId="7"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7" fillId="0" borderId="0" applyFont="0" applyFill="0" applyBorder="0" applyAlignment="0" applyProtection="0"/>
    <xf numFmtId="0" fontId="1" fillId="0" borderId="0">
      <alignment vertical="center"/>
    </xf>
    <xf numFmtId="0" fontId="1" fillId="0" borderId="0">
      <alignment vertical="center"/>
    </xf>
    <xf numFmtId="0" fontId="1" fillId="29" borderId="231" applyNumberFormat="0" applyFont="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35" borderId="0" applyNumberFormat="0" applyBorder="0" applyAlignment="0" applyProtection="0">
      <alignment vertical="center"/>
    </xf>
    <xf numFmtId="0" fontId="1" fillId="36" borderId="0" applyNumberFormat="0" applyBorder="0" applyAlignment="0" applyProtection="0">
      <alignment vertical="center"/>
    </xf>
    <xf numFmtId="0" fontId="1" fillId="39" borderId="0" applyNumberFormat="0" applyBorder="0" applyAlignment="0" applyProtection="0">
      <alignment vertical="center"/>
    </xf>
    <xf numFmtId="0" fontId="1" fillId="40" borderId="0" applyNumberFormat="0" applyBorder="0" applyAlignment="0" applyProtection="0">
      <alignment vertical="center"/>
    </xf>
    <xf numFmtId="0" fontId="1" fillId="43" borderId="0" applyNumberFormat="0" applyBorder="0" applyAlignment="0" applyProtection="0">
      <alignment vertical="center"/>
    </xf>
    <xf numFmtId="0" fontId="1" fillId="44" borderId="0" applyNumberFormat="0" applyBorder="0" applyAlignment="0" applyProtection="0">
      <alignment vertical="center"/>
    </xf>
    <xf numFmtId="0" fontId="1" fillId="47" borderId="0" applyNumberFormat="0" applyBorder="0" applyAlignment="0" applyProtection="0">
      <alignment vertical="center"/>
    </xf>
    <xf numFmtId="0" fontId="1" fillId="48" borderId="0" applyNumberFormat="0" applyBorder="0" applyAlignment="0" applyProtection="0">
      <alignment vertical="center"/>
    </xf>
    <xf numFmtId="0" fontId="1" fillId="51" borderId="0" applyNumberFormat="0" applyBorder="0" applyAlignment="0" applyProtection="0">
      <alignment vertical="center"/>
    </xf>
    <xf numFmtId="0" fontId="1" fillId="52" borderId="0" applyNumberFormat="0" applyBorder="0" applyAlignment="0" applyProtection="0">
      <alignment vertical="center"/>
    </xf>
    <xf numFmtId="0" fontId="66" fillId="14" borderId="347" applyNumberFormat="0" applyAlignment="0" applyProtection="0">
      <alignment vertical="center"/>
    </xf>
    <xf numFmtId="0" fontId="71" fillId="0" borderId="348" applyNumberFormat="0" applyFill="0" applyAlignment="0" applyProtection="0">
      <alignment vertical="center"/>
    </xf>
    <xf numFmtId="0" fontId="72" fillId="14" borderId="349" applyNumberFormat="0" applyAlignment="0" applyProtection="0">
      <alignment vertical="center"/>
    </xf>
    <xf numFmtId="0" fontId="71" fillId="0" borderId="351" applyNumberFormat="0" applyFill="0" applyAlignment="0" applyProtection="0">
      <alignment vertical="center"/>
    </xf>
    <xf numFmtId="0" fontId="66" fillId="14" borderId="347" applyNumberFormat="0" applyAlignment="0" applyProtection="0">
      <alignment vertical="center"/>
    </xf>
    <xf numFmtId="0" fontId="71" fillId="0" borderId="351" applyNumberFormat="0" applyFill="0" applyAlignment="0" applyProtection="0">
      <alignment vertical="center"/>
    </xf>
    <xf numFmtId="0" fontId="72" fillId="10" borderId="349" applyNumberFormat="0" applyAlignment="0" applyProtection="0">
      <alignment vertical="center"/>
    </xf>
    <xf numFmtId="0" fontId="71" fillId="0" borderId="348" applyNumberFormat="0" applyFill="0" applyAlignment="0" applyProtection="0">
      <alignment vertical="center"/>
    </xf>
    <xf numFmtId="0" fontId="18" fillId="4" borderId="352" applyNumberFormat="0" applyFont="0" applyAlignment="0" applyProtection="0">
      <alignment vertical="center"/>
    </xf>
    <xf numFmtId="0" fontId="71" fillId="0" borderId="350" applyNumberFormat="0" applyFill="0" applyAlignment="0" applyProtection="0">
      <alignment vertical="center"/>
    </xf>
    <xf numFmtId="0" fontId="66" fillId="14" borderId="347" applyNumberFormat="0" applyAlignment="0" applyProtection="0">
      <alignment vertical="center"/>
    </xf>
    <xf numFmtId="0" fontId="9" fillId="4" borderId="352" applyNumberFormat="0" applyFont="0" applyAlignment="0" applyProtection="0">
      <alignment vertical="center"/>
    </xf>
    <xf numFmtId="0" fontId="81" fillId="10" borderId="347" applyNumberFormat="0" applyAlignment="0" applyProtection="0">
      <alignment vertical="center"/>
    </xf>
    <xf numFmtId="0" fontId="18" fillId="4" borderId="352" applyNumberFormat="0" applyFont="0" applyAlignment="0" applyProtection="0">
      <alignment vertical="center"/>
    </xf>
    <xf numFmtId="0" fontId="74" fillId="15" borderId="347" applyNumberFormat="0" applyAlignment="0" applyProtection="0">
      <alignment vertical="center"/>
    </xf>
    <xf numFmtId="0" fontId="43" fillId="4" borderId="352" applyNumberFormat="0" applyFont="0" applyAlignment="0" applyProtection="0">
      <alignment vertical="center"/>
    </xf>
    <xf numFmtId="0" fontId="9" fillId="4" borderId="352" applyNumberFormat="0" applyFont="0" applyAlignment="0" applyProtection="0">
      <alignment vertical="center"/>
    </xf>
    <xf numFmtId="0" fontId="72" fillId="10" borderId="349" applyNumberFormat="0" applyAlignment="0" applyProtection="0">
      <alignment vertical="center"/>
    </xf>
    <xf numFmtId="0" fontId="43" fillId="4" borderId="352" applyNumberFormat="0" applyFont="0" applyAlignment="0" applyProtection="0">
      <alignment vertical="center"/>
    </xf>
    <xf numFmtId="0" fontId="74" fillId="15" borderId="347" applyNumberFormat="0" applyAlignment="0" applyProtection="0">
      <alignment vertical="center"/>
    </xf>
    <xf numFmtId="0" fontId="43" fillId="4" borderId="352" applyNumberFormat="0" applyFont="0" applyAlignment="0" applyProtection="0">
      <alignment vertical="center"/>
    </xf>
    <xf numFmtId="0" fontId="71" fillId="0" borderId="350" applyNumberFormat="0" applyFill="0" applyAlignment="0" applyProtection="0">
      <alignment vertical="center"/>
    </xf>
    <xf numFmtId="0" fontId="74" fillId="9" borderId="347" applyNumberFormat="0" applyAlignment="0" applyProtection="0">
      <alignment vertical="center"/>
    </xf>
    <xf numFmtId="0" fontId="71" fillId="0" borderId="351" applyNumberFormat="0" applyFill="0" applyAlignment="0" applyProtection="0">
      <alignment vertical="center"/>
    </xf>
    <xf numFmtId="0" fontId="74" fillId="9" borderId="347" applyNumberFormat="0" applyAlignment="0" applyProtection="0">
      <alignment vertical="center"/>
    </xf>
    <xf numFmtId="0" fontId="74" fillId="15" borderId="347" applyNumberFormat="0" applyAlignment="0" applyProtection="0">
      <alignment vertical="center"/>
    </xf>
    <xf numFmtId="0" fontId="71" fillId="0" borderId="348" applyNumberFormat="0" applyFill="0" applyAlignment="0" applyProtection="0">
      <alignment vertical="center"/>
    </xf>
    <xf numFmtId="0" fontId="81" fillId="10" borderId="347" applyNumberFormat="0" applyAlignment="0" applyProtection="0">
      <alignment vertical="center"/>
    </xf>
    <xf numFmtId="0" fontId="81" fillId="10" borderId="347" applyNumberFormat="0" applyAlignment="0" applyProtection="0">
      <alignment vertical="center"/>
    </xf>
    <xf numFmtId="0" fontId="74" fillId="15" borderId="347" applyNumberFormat="0" applyAlignment="0" applyProtection="0">
      <alignment vertical="center"/>
    </xf>
    <xf numFmtId="0" fontId="71" fillId="0" borderId="351" applyNumberFormat="0" applyFill="0" applyAlignment="0" applyProtection="0">
      <alignment vertical="center"/>
    </xf>
    <xf numFmtId="0" fontId="74" fillId="9" borderId="347" applyNumberFormat="0" applyAlignment="0" applyProtection="0">
      <alignment vertical="center"/>
    </xf>
    <xf numFmtId="0" fontId="72" fillId="10" borderId="349" applyNumberFormat="0" applyAlignment="0" applyProtection="0">
      <alignment vertical="center"/>
    </xf>
    <xf numFmtId="0" fontId="71" fillId="0" borderId="348" applyNumberFormat="0" applyFill="0" applyAlignment="0" applyProtection="0">
      <alignment vertical="center"/>
    </xf>
    <xf numFmtId="0" fontId="72" fillId="10" borderId="349" applyNumberFormat="0" applyAlignment="0" applyProtection="0">
      <alignment vertical="center"/>
    </xf>
    <xf numFmtId="0" fontId="72" fillId="10" borderId="349" applyNumberFormat="0" applyAlignment="0" applyProtection="0">
      <alignment vertical="center"/>
    </xf>
    <xf numFmtId="0" fontId="74" fillId="15" borderId="347" applyNumberFormat="0" applyAlignment="0" applyProtection="0">
      <alignment vertical="center"/>
    </xf>
    <xf numFmtId="0" fontId="18" fillId="4" borderId="352" applyNumberFormat="0" applyFont="0" applyAlignment="0" applyProtection="0">
      <alignment vertical="center"/>
    </xf>
    <xf numFmtId="0" fontId="46" fillId="4" borderId="352" applyNumberFormat="0" applyFont="0" applyAlignment="0" applyProtection="0">
      <alignment vertical="center"/>
    </xf>
    <xf numFmtId="0" fontId="81" fillId="10" borderId="347" applyNumberFormat="0" applyAlignment="0" applyProtection="0">
      <alignment vertical="center"/>
    </xf>
    <xf numFmtId="0" fontId="71" fillId="0" borderId="350" applyNumberFormat="0" applyFill="0" applyAlignment="0" applyProtection="0">
      <alignment vertical="center"/>
    </xf>
    <xf numFmtId="0" fontId="72" fillId="14" borderId="349" applyNumberFormat="0" applyAlignment="0" applyProtection="0">
      <alignment vertical="center"/>
    </xf>
    <xf numFmtId="0" fontId="9" fillId="4" borderId="352" applyNumberFormat="0" applyFont="0" applyAlignment="0" applyProtection="0">
      <alignment vertical="center"/>
    </xf>
    <xf numFmtId="0" fontId="43" fillId="4" borderId="352" applyNumberFormat="0" applyFont="0" applyAlignment="0" applyProtection="0">
      <alignment vertical="center"/>
    </xf>
    <xf numFmtId="0" fontId="72" fillId="14" borderId="349" applyNumberFormat="0" applyAlignment="0" applyProtection="0">
      <alignment vertical="center"/>
    </xf>
    <xf numFmtId="0" fontId="66" fillId="14" borderId="347" applyNumberFormat="0" applyAlignment="0" applyProtection="0">
      <alignment vertical="center"/>
    </xf>
    <xf numFmtId="0" fontId="9" fillId="4" borderId="352" applyNumberFormat="0" applyFont="0" applyAlignment="0" applyProtection="0">
      <alignment vertical="center"/>
    </xf>
    <xf numFmtId="0" fontId="71" fillId="0" borderId="351" applyNumberFormat="0" applyFill="0" applyAlignment="0" applyProtection="0">
      <alignment vertical="center"/>
    </xf>
    <xf numFmtId="0" fontId="81" fillId="10" borderId="347" applyNumberFormat="0" applyAlignment="0" applyProtection="0">
      <alignment vertical="center"/>
    </xf>
    <xf numFmtId="0" fontId="9" fillId="4" borderId="352" applyNumberFormat="0" applyFont="0" applyAlignment="0" applyProtection="0">
      <alignment vertical="center"/>
    </xf>
    <xf numFmtId="0" fontId="18" fillId="4" borderId="352" applyNumberFormat="0" applyFont="0" applyAlignment="0" applyProtection="0">
      <alignment vertical="center"/>
    </xf>
    <xf numFmtId="0" fontId="71" fillId="0" borderId="351" applyNumberFormat="0" applyFill="0" applyAlignment="0" applyProtection="0">
      <alignment vertical="center"/>
    </xf>
    <xf numFmtId="0" fontId="81" fillId="10" borderId="347" applyNumberFormat="0" applyAlignment="0" applyProtection="0">
      <alignment vertical="center"/>
    </xf>
    <xf numFmtId="0" fontId="72" fillId="14" borderId="349" applyNumberFormat="0" applyAlignment="0" applyProtection="0">
      <alignment vertical="center"/>
    </xf>
    <xf numFmtId="0" fontId="71" fillId="0" borderId="351" applyNumberFormat="0" applyFill="0" applyAlignment="0" applyProtection="0">
      <alignment vertical="center"/>
    </xf>
    <xf numFmtId="0" fontId="66" fillId="14" borderId="347" applyNumberFormat="0" applyAlignment="0" applyProtection="0">
      <alignment vertical="center"/>
    </xf>
    <xf numFmtId="0" fontId="71" fillId="0" borderId="350" applyNumberFormat="0" applyFill="0" applyAlignment="0" applyProtection="0">
      <alignment vertical="center"/>
    </xf>
    <xf numFmtId="0" fontId="18" fillId="4" borderId="352" applyNumberFormat="0" applyFont="0" applyAlignment="0" applyProtection="0">
      <alignment vertical="center"/>
    </xf>
    <xf numFmtId="0" fontId="71" fillId="0" borderId="351" applyNumberFormat="0" applyFill="0" applyAlignment="0" applyProtection="0">
      <alignment vertical="center"/>
    </xf>
    <xf numFmtId="0" fontId="71" fillId="0" borderId="348" applyNumberFormat="0" applyFill="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7" fillId="0" borderId="0" applyFont="0" applyFill="0" applyBorder="0" applyAlignment="0" applyProtection="0"/>
    <xf numFmtId="0" fontId="1" fillId="0" borderId="0">
      <alignment vertical="center"/>
    </xf>
    <xf numFmtId="0" fontId="1" fillId="0" borderId="0">
      <alignment vertical="center"/>
    </xf>
    <xf numFmtId="0" fontId="1" fillId="29" borderId="231" applyNumberFormat="0" applyFont="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35" borderId="0" applyNumberFormat="0" applyBorder="0" applyAlignment="0" applyProtection="0">
      <alignment vertical="center"/>
    </xf>
    <xf numFmtId="0" fontId="1" fillId="36" borderId="0" applyNumberFormat="0" applyBorder="0" applyAlignment="0" applyProtection="0">
      <alignment vertical="center"/>
    </xf>
    <xf numFmtId="0" fontId="1" fillId="39" borderId="0" applyNumberFormat="0" applyBorder="0" applyAlignment="0" applyProtection="0">
      <alignment vertical="center"/>
    </xf>
    <xf numFmtId="0" fontId="1" fillId="40" borderId="0" applyNumberFormat="0" applyBorder="0" applyAlignment="0" applyProtection="0">
      <alignment vertical="center"/>
    </xf>
    <xf numFmtId="0" fontId="1" fillId="43" borderId="0" applyNumberFormat="0" applyBorder="0" applyAlignment="0" applyProtection="0">
      <alignment vertical="center"/>
    </xf>
    <xf numFmtId="0" fontId="1" fillId="44" borderId="0" applyNumberFormat="0" applyBorder="0" applyAlignment="0" applyProtection="0">
      <alignment vertical="center"/>
    </xf>
    <xf numFmtId="0" fontId="1" fillId="47" borderId="0" applyNumberFormat="0" applyBorder="0" applyAlignment="0" applyProtection="0">
      <alignment vertical="center"/>
    </xf>
    <xf numFmtId="0" fontId="1" fillId="48" borderId="0" applyNumberFormat="0" applyBorder="0" applyAlignment="0" applyProtection="0">
      <alignment vertical="center"/>
    </xf>
    <xf numFmtId="0" fontId="1" fillId="51" borderId="0" applyNumberFormat="0" applyBorder="0" applyAlignment="0" applyProtection="0">
      <alignment vertical="center"/>
    </xf>
    <xf numFmtId="0" fontId="1" fillId="52"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7" fillId="0" borderId="0" applyFont="0" applyFill="0" applyBorder="0" applyAlignment="0" applyProtection="0"/>
    <xf numFmtId="0" fontId="1" fillId="0" borderId="0">
      <alignment vertical="center"/>
    </xf>
    <xf numFmtId="0" fontId="1" fillId="0" borderId="0">
      <alignment vertical="center"/>
    </xf>
    <xf numFmtId="0" fontId="1" fillId="29" borderId="231" applyNumberFormat="0" applyFont="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35" borderId="0" applyNumberFormat="0" applyBorder="0" applyAlignment="0" applyProtection="0">
      <alignment vertical="center"/>
    </xf>
    <xf numFmtId="0" fontId="1" fillId="36" borderId="0" applyNumberFormat="0" applyBorder="0" applyAlignment="0" applyProtection="0">
      <alignment vertical="center"/>
    </xf>
    <xf numFmtId="0" fontId="1" fillId="39" borderId="0" applyNumberFormat="0" applyBorder="0" applyAlignment="0" applyProtection="0">
      <alignment vertical="center"/>
    </xf>
    <xf numFmtId="0" fontId="1" fillId="40" borderId="0" applyNumberFormat="0" applyBorder="0" applyAlignment="0" applyProtection="0">
      <alignment vertical="center"/>
    </xf>
    <xf numFmtId="0" fontId="1" fillId="43" borderId="0" applyNumberFormat="0" applyBorder="0" applyAlignment="0" applyProtection="0">
      <alignment vertical="center"/>
    </xf>
    <xf numFmtId="0" fontId="1" fillId="44" borderId="0" applyNumberFormat="0" applyBorder="0" applyAlignment="0" applyProtection="0">
      <alignment vertical="center"/>
    </xf>
    <xf numFmtId="0" fontId="1" fillId="47" borderId="0" applyNumberFormat="0" applyBorder="0" applyAlignment="0" applyProtection="0">
      <alignment vertical="center"/>
    </xf>
    <xf numFmtId="0" fontId="1" fillId="48" borderId="0" applyNumberFormat="0" applyBorder="0" applyAlignment="0" applyProtection="0">
      <alignment vertical="center"/>
    </xf>
    <xf numFmtId="0" fontId="1" fillId="51" borderId="0" applyNumberFormat="0" applyBorder="0" applyAlignment="0" applyProtection="0">
      <alignment vertical="center"/>
    </xf>
    <xf numFmtId="0" fontId="1" fillId="52"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6" fontId="7" fillId="0" borderId="0" applyFont="0" applyFill="0" applyBorder="0" applyAlignment="0" applyProtection="0"/>
    <xf numFmtId="6" fontId="7"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7" fillId="0" borderId="0" applyFont="0" applyFill="0" applyBorder="0" applyAlignment="0" applyProtection="0"/>
    <xf numFmtId="0" fontId="1" fillId="0" borderId="0">
      <alignment vertical="center"/>
    </xf>
    <xf numFmtId="0" fontId="1" fillId="0" borderId="0">
      <alignment vertical="center"/>
    </xf>
    <xf numFmtId="0" fontId="1" fillId="29" borderId="231" applyNumberFormat="0" applyFont="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35" borderId="0" applyNumberFormat="0" applyBorder="0" applyAlignment="0" applyProtection="0">
      <alignment vertical="center"/>
    </xf>
    <xf numFmtId="0" fontId="1" fillId="36" borderId="0" applyNumberFormat="0" applyBorder="0" applyAlignment="0" applyProtection="0">
      <alignment vertical="center"/>
    </xf>
    <xf numFmtId="0" fontId="1" fillId="39" borderId="0" applyNumberFormat="0" applyBorder="0" applyAlignment="0" applyProtection="0">
      <alignment vertical="center"/>
    </xf>
    <xf numFmtId="0" fontId="1" fillId="40" borderId="0" applyNumberFormat="0" applyBorder="0" applyAlignment="0" applyProtection="0">
      <alignment vertical="center"/>
    </xf>
    <xf numFmtId="0" fontId="1" fillId="43" borderId="0" applyNumberFormat="0" applyBorder="0" applyAlignment="0" applyProtection="0">
      <alignment vertical="center"/>
    </xf>
    <xf numFmtId="0" fontId="1" fillId="44" borderId="0" applyNumberFormat="0" applyBorder="0" applyAlignment="0" applyProtection="0">
      <alignment vertical="center"/>
    </xf>
    <xf numFmtId="0" fontId="1" fillId="47" borderId="0" applyNumberFormat="0" applyBorder="0" applyAlignment="0" applyProtection="0">
      <alignment vertical="center"/>
    </xf>
    <xf numFmtId="0" fontId="1" fillId="48" borderId="0" applyNumberFormat="0" applyBorder="0" applyAlignment="0" applyProtection="0">
      <alignment vertical="center"/>
    </xf>
    <xf numFmtId="0" fontId="1" fillId="51" borderId="0" applyNumberFormat="0" applyBorder="0" applyAlignment="0" applyProtection="0">
      <alignment vertical="center"/>
    </xf>
    <xf numFmtId="0" fontId="1" fillId="52"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7" fillId="0" borderId="0" applyFont="0" applyFill="0" applyBorder="0" applyAlignment="0" applyProtection="0"/>
    <xf numFmtId="0" fontId="1" fillId="0" borderId="0">
      <alignment vertical="center"/>
    </xf>
    <xf numFmtId="0" fontId="1" fillId="0" borderId="0">
      <alignment vertical="center"/>
    </xf>
    <xf numFmtId="0" fontId="1" fillId="29" borderId="231" applyNumberFormat="0" applyFont="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35" borderId="0" applyNumberFormat="0" applyBorder="0" applyAlignment="0" applyProtection="0">
      <alignment vertical="center"/>
    </xf>
    <xf numFmtId="0" fontId="1" fillId="36" borderId="0" applyNumberFormat="0" applyBorder="0" applyAlignment="0" applyProtection="0">
      <alignment vertical="center"/>
    </xf>
    <xf numFmtId="0" fontId="1" fillId="39" borderId="0" applyNumberFormat="0" applyBorder="0" applyAlignment="0" applyProtection="0">
      <alignment vertical="center"/>
    </xf>
    <xf numFmtId="0" fontId="1" fillId="40" borderId="0" applyNumberFormat="0" applyBorder="0" applyAlignment="0" applyProtection="0">
      <alignment vertical="center"/>
    </xf>
    <xf numFmtId="0" fontId="1" fillId="43" borderId="0" applyNumberFormat="0" applyBorder="0" applyAlignment="0" applyProtection="0">
      <alignment vertical="center"/>
    </xf>
    <xf numFmtId="0" fontId="1" fillId="44" borderId="0" applyNumberFormat="0" applyBorder="0" applyAlignment="0" applyProtection="0">
      <alignment vertical="center"/>
    </xf>
    <xf numFmtId="0" fontId="1" fillId="47" borderId="0" applyNumberFormat="0" applyBorder="0" applyAlignment="0" applyProtection="0">
      <alignment vertical="center"/>
    </xf>
    <xf numFmtId="0" fontId="1" fillId="48" borderId="0" applyNumberFormat="0" applyBorder="0" applyAlignment="0" applyProtection="0">
      <alignment vertical="center"/>
    </xf>
    <xf numFmtId="0" fontId="1" fillId="51" borderId="0" applyNumberFormat="0" applyBorder="0" applyAlignment="0" applyProtection="0">
      <alignment vertical="center"/>
    </xf>
    <xf numFmtId="0" fontId="1" fillId="52"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7" fillId="0" borderId="0" applyFont="0" applyFill="0" applyBorder="0" applyAlignment="0" applyProtection="0"/>
    <xf numFmtId="0" fontId="1" fillId="0" borderId="0">
      <alignment vertical="center"/>
    </xf>
    <xf numFmtId="0" fontId="1" fillId="0" borderId="0">
      <alignment vertical="center"/>
    </xf>
    <xf numFmtId="0" fontId="1" fillId="29" borderId="231" applyNumberFormat="0" applyFont="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35" borderId="0" applyNumberFormat="0" applyBorder="0" applyAlignment="0" applyProtection="0">
      <alignment vertical="center"/>
    </xf>
    <xf numFmtId="0" fontId="1" fillId="36" borderId="0" applyNumberFormat="0" applyBorder="0" applyAlignment="0" applyProtection="0">
      <alignment vertical="center"/>
    </xf>
    <xf numFmtId="0" fontId="1" fillId="39" borderId="0" applyNumberFormat="0" applyBorder="0" applyAlignment="0" applyProtection="0">
      <alignment vertical="center"/>
    </xf>
    <xf numFmtId="0" fontId="1" fillId="40" borderId="0" applyNumberFormat="0" applyBorder="0" applyAlignment="0" applyProtection="0">
      <alignment vertical="center"/>
    </xf>
    <xf numFmtId="0" fontId="1" fillId="43" borderId="0" applyNumberFormat="0" applyBorder="0" applyAlignment="0" applyProtection="0">
      <alignment vertical="center"/>
    </xf>
    <xf numFmtId="0" fontId="1" fillId="44" borderId="0" applyNumberFormat="0" applyBorder="0" applyAlignment="0" applyProtection="0">
      <alignment vertical="center"/>
    </xf>
    <xf numFmtId="0" fontId="1" fillId="47" borderId="0" applyNumberFormat="0" applyBorder="0" applyAlignment="0" applyProtection="0">
      <alignment vertical="center"/>
    </xf>
    <xf numFmtId="0" fontId="1" fillId="48" borderId="0" applyNumberFormat="0" applyBorder="0" applyAlignment="0" applyProtection="0">
      <alignment vertical="center"/>
    </xf>
    <xf numFmtId="0" fontId="1" fillId="51" borderId="0" applyNumberFormat="0" applyBorder="0" applyAlignment="0" applyProtection="0">
      <alignment vertical="center"/>
    </xf>
    <xf numFmtId="0" fontId="1" fillId="52"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2641">
    <xf numFmtId="0" fontId="0" fillId="0" borderId="0" xfId="0"/>
    <xf numFmtId="0" fontId="7" fillId="0" borderId="0" xfId="61"/>
    <xf numFmtId="0" fontId="7" fillId="0" borderId="0" xfId="61" applyAlignment="1">
      <alignment vertical="top"/>
    </xf>
    <xf numFmtId="196" fontId="20" fillId="5" borderId="114" xfId="0" applyNumberFormat="1" applyFont="1" applyFill="1" applyBorder="1" applyAlignment="1">
      <alignment horizontal="centerContinuous" wrapText="1"/>
    </xf>
    <xf numFmtId="180" fontId="20" fillId="7" borderId="0" xfId="26" applyNumberFormat="1" applyFont="1" applyFill="1" applyBorder="1" applyAlignment="1"/>
    <xf numFmtId="180" fontId="20" fillId="7" borderId="0" xfId="0" applyNumberFormat="1" applyFont="1" applyFill="1"/>
    <xf numFmtId="178" fontId="18" fillId="7" borderId="7" xfId="26" applyNumberFormat="1" applyFont="1" applyFill="1" applyBorder="1" applyAlignment="1">
      <alignment horizontal="right"/>
    </xf>
    <xf numFmtId="178" fontId="18" fillId="7" borderId="26" xfId="26" applyNumberFormat="1" applyFont="1" applyFill="1" applyBorder="1" applyAlignment="1">
      <alignment horizontal="right"/>
    </xf>
    <xf numFmtId="0" fontId="0" fillId="7" borderId="0" xfId="0" applyFill="1"/>
    <xf numFmtId="0" fontId="20" fillId="7" borderId="0" xfId="0" applyFont="1" applyFill="1"/>
    <xf numFmtId="0" fontId="19" fillId="7" borderId="0" xfId="0" applyFont="1" applyFill="1" applyAlignment="1">
      <alignment horizontal="right"/>
    </xf>
    <xf numFmtId="0" fontId="20" fillId="7" borderId="3" xfId="0" applyFont="1" applyFill="1" applyBorder="1"/>
    <xf numFmtId="0" fontId="20" fillId="7" borderId="15" xfId="0" applyFont="1" applyFill="1" applyBorder="1"/>
    <xf numFmtId="0" fontId="0" fillId="7" borderId="15" xfId="0" applyFill="1" applyBorder="1"/>
    <xf numFmtId="0" fontId="20" fillId="7" borderId="0" xfId="0" applyFont="1" applyFill="1" applyAlignment="1">
      <alignment horizontal="center"/>
    </xf>
    <xf numFmtId="0" fontId="20" fillId="7" borderId="8" xfId="0" applyFont="1" applyFill="1" applyBorder="1" applyAlignment="1">
      <alignment horizontal="left"/>
    </xf>
    <xf numFmtId="178" fontId="18" fillId="7" borderId="8" xfId="26" applyNumberFormat="1" applyFont="1" applyFill="1" applyBorder="1" applyAlignment="1">
      <alignment horizontal="right"/>
    </xf>
    <xf numFmtId="178" fontId="18" fillId="7" borderId="8" xfId="26" applyNumberFormat="1" applyFont="1" applyFill="1" applyBorder="1"/>
    <xf numFmtId="178" fontId="18" fillId="7" borderId="7" xfId="26" applyNumberFormat="1" applyFont="1" applyFill="1" applyBorder="1"/>
    <xf numFmtId="178" fontId="18" fillId="7" borderId="109" xfId="26" applyNumberFormat="1" applyFont="1" applyFill="1" applyBorder="1"/>
    <xf numFmtId="184" fontId="18" fillId="7" borderId="46" xfId="26" applyNumberFormat="1" applyFont="1" applyFill="1" applyBorder="1"/>
    <xf numFmtId="0" fontId="20" fillId="7" borderId="36" xfId="0" applyFont="1" applyFill="1" applyBorder="1" applyAlignment="1">
      <alignment horizontal="left"/>
    </xf>
    <xf numFmtId="184" fontId="18" fillId="7" borderId="67" xfId="26" applyNumberFormat="1" applyFont="1" applyFill="1" applyBorder="1"/>
    <xf numFmtId="0" fontId="20" fillId="7" borderId="81" xfId="0" applyFont="1" applyFill="1" applyBorder="1" applyAlignment="1">
      <alignment horizontal="left"/>
    </xf>
    <xf numFmtId="184" fontId="18" fillId="7" borderId="83" xfId="26" applyNumberFormat="1" applyFont="1" applyFill="1" applyBorder="1"/>
    <xf numFmtId="38" fontId="18" fillId="7" borderId="0" xfId="26" applyFont="1" applyFill="1" applyBorder="1"/>
    <xf numFmtId="0" fontId="0" fillId="7" borderId="22" xfId="0" applyFill="1" applyBorder="1" applyAlignment="1">
      <alignment horizontal="center"/>
    </xf>
    <xf numFmtId="0" fontId="20" fillId="7" borderId="85" xfId="0" applyFont="1" applyFill="1" applyBorder="1" applyAlignment="1">
      <alignment horizontal="left"/>
    </xf>
    <xf numFmtId="0" fontId="20" fillId="7" borderId="86" xfId="0" applyFont="1" applyFill="1" applyBorder="1" applyAlignment="1">
      <alignment horizontal="left"/>
    </xf>
    <xf numFmtId="0" fontId="0" fillId="7" borderId="7" xfId="0" applyFill="1" applyBorder="1" applyAlignment="1">
      <alignment horizontal="center"/>
    </xf>
    <xf numFmtId="0" fontId="0" fillId="7" borderId="242" xfId="0" applyFill="1" applyBorder="1"/>
    <xf numFmtId="0" fontId="0" fillId="7" borderId="243" xfId="0" applyFill="1" applyBorder="1"/>
    <xf numFmtId="0" fontId="0" fillId="7" borderId="244" xfId="0" applyFill="1" applyBorder="1"/>
    <xf numFmtId="0" fontId="0" fillId="7" borderId="9" xfId="0" applyFill="1" applyBorder="1"/>
    <xf numFmtId="0" fontId="0" fillId="7" borderId="56" xfId="0" applyFill="1" applyBorder="1"/>
    <xf numFmtId="0" fontId="134" fillId="7" borderId="0" xfId="0" applyFont="1" applyFill="1" applyAlignment="1">
      <alignment horizontal="right"/>
    </xf>
    <xf numFmtId="199" fontId="18" fillId="7" borderId="86" xfId="26" applyNumberFormat="1" applyFont="1" applyFill="1" applyBorder="1"/>
    <xf numFmtId="199" fontId="18" fillId="7" borderId="57" xfId="26" applyNumberFormat="1" applyFont="1" applyFill="1" applyBorder="1"/>
    <xf numFmtId="199" fontId="18" fillId="7" borderId="74" xfId="26" applyNumberFormat="1" applyFont="1" applyFill="1" applyBorder="1"/>
    <xf numFmtId="184" fontId="18" fillId="7" borderId="74" xfId="26" applyNumberFormat="1" applyFont="1" applyFill="1" applyBorder="1"/>
    <xf numFmtId="198" fontId="0" fillId="7" borderId="0" xfId="0" applyNumberFormat="1" applyFill="1"/>
    <xf numFmtId="199" fontId="18" fillId="7" borderId="8" xfId="26" applyNumberFormat="1" applyFont="1" applyFill="1" applyBorder="1"/>
    <xf numFmtId="199" fontId="18" fillId="7" borderId="7" xfId="26" applyNumberFormat="1" applyFont="1" applyFill="1" applyBorder="1"/>
    <xf numFmtId="199" fontId="18" fillId="7" borderId="46" xfId="26" applyNumberFormat="1" applyFont="1" applyFill="1" applyBorder="1"/>
    <xf numFmtId="199" fontId="18" fillId="7" borderId="36" xfId="26" applyNumberFormat="1" applyFont="1" applyFill="1" applyBorder="1"/>
    <xf numFmtId="199" fontId="18" fillId="7" borderId="58" xfId="26" applyNumberFormat="1" applyFont="1" applyFill="1" applyBorder="1"/>
    <xf numFmtId="199" fontId="18" fillId="7" borderId="67" xfId="26" applyNumberFormat="1" applyFont="1" applyFill="1" applyBorder="1"/>
    <xf numFmtId="198" fontId="18" fillId="7" borderId="8" xfId="26" applyNumberFormat="1" applyFont="1" applyFill="1" applyBorder="1"/>
    <xf numFmtId="198" fontId="18" fillId="7" borderId="7" xfId="26" applyNumberFormat="1" applyFont="1" applyFill="1" applyBorder="1"/>
    <xf numFmtId="198" fontId="18" fillId="7" borderId="46" xfId="26" applyNumberFormat="1" applyFont="1" applyFill="1" applyBorder="1"/>
    <xf numFmtId="198" fontId="18" fillId="7" borderId="46" xfId="26" applyNumberFormat="1" applyFont="1" applyFill="1" applyBorder="1" applyAlignment="1">
      <alignment horizontal="right"/>
    </xf>
    <xf numFmtId="190" fontId="0" fillId="7" borderId="0" xfId="0" applyNumberFormat="1" applyFill="1"/>
    <xf numFmtId="199" fontId="18" fillId="7" borderId="85" xfId="26" applyNumberFormat="1" applyFont="1" applyFill="1" applyBorder="1"/>
    <xf numFmtId="199" fontId="18" fillId="7" borderId="61" xfId="26" applyNumberFormat="1" applyFont="1" applyFill="1" applyBorder="1"/>
    <xf numFmtId="199" fontId="18" fillId="7" borderId="70" xfId="26" applyNumberFormat="1" applyFont="1" applyFill="1" applyBorder="1"/>
    <xf numFmtId="184" fontId="18" fillId="7" borderId="70" xfId="26" applyNumberFormat="1" applyFont="1" applyFill="1" applyBorder="1"/>
    <xf numFmtId="199" fontId="18" fillId="7" borderId="81" xfId="26" applyNumberFormat="1" applyFont="1" applyFill="1" applyBorder="1"/>
    <xf numFmtId="199" fontId="18" fillId="7" borderId="82" xfId="26" applyNumberFormat="1" applyFont="1" applyFill="1" applyBorder="1"/>
    <xf numFmtId="199" fontId="18" fillId="7" borderId="83" xfId="26" applyNumberFormat="1" applyFont="1" applyFill="1" applyBorder="1"/>
    <xf numFmtId="0" fontId="20" fillId="7" borderId="38" xfId="0" applyFont="1" applyFill="1" applyBorder="1" applyAlignment="1">
      <alignment horizontal="left"/>
    </xf>
    <xf numFmtId="198" fontId="18" fillId="7" borderId="38" xfId="26" applyNumberFormat="1" applyFont="1" applyFill="1" applyBorder="1"/>
    <xf numFmtId="198" fontId="18" fillId="7" borderId="59" xfId="26" applyNumberFormat="1" applyFont="1" applyFill="1" applyBorder="1"/>
    <xf numFmtId="198" fontId="18" fillId="7" borderId="84" xfId="26" applyNumberFormat="1" applyFont="1" applyFill="1" applyBorder="1"/>
    <xf numFmtId="198" fontId="18" fillId="7" borderId="84" xfId="26" applyNumberFormat="1" applyFont="1" applyFill="1" applyBorder="1" applyAlignment="1">
      <alignment horizontal="right"/>
    </xf>
    <xf numFmtId="0" fontId="0" fillId="7" borderId="59" xfId="0" applyFill="1" applyBorder="1"/>
    <xf numFmtId="0" fontId="0" fillId="7" borderId="38" xfId="0" applyFill="1" applyBorder="1"/>
    <xf numFmtId="198" fontId="18" fillId="7" borderId="6" xfId="26" applyNumberFormat="1" applyFont="1" applyFill="1" applyBorder="1"/>
    <xf numFmtId="198" fontId="18" fillId="7" borderId="9" xfId="26" applyNumberFormat="1" applyFont="1" applyFill="1" applyBorder="1"/>
    <xf numFmtId="198" fontId="18" fillId="7" borderId="91" xfId="26" applyNumberFormat="1" applyFont="1" applyFill="1" applyBorder="1"/>
    <xf numFmtId="198" fontId="18" fillId="7" borderId="91" xfId="26" applyNumberFormat="1" applyFont="1" applyFill="1" applyBorder="1" applyAlignment="1">
      <alignment horizontal="right"/>
    </xf>
    <xf numFmtId="38" fontId="0" fillId="7" borderId="0" xfId="26" applyFont="1" applyFill="1"/>
    <xf numFmtId="180" fontId="17" fillId="0" borderId="144" xfId="0" applyNumberFormat="1" applyFont="1" applyBorder="1" applyAlignment="1">
      <alignment horizontal="center" wrapText="1" shrinkToFit="1"/>
    </xf>
    <xf numFmtId="196" fontId="20" fillId="7" borderId="144" xfId="0" applyNumberFormat="1" applyFont="1" applyFill="1" applyBorder="1" applyAlignment="1">
      <alignment horizontal="centerContinuous" vertical="center" shrinkToFit="1"/>
    </xf>
    <xf numFmtId="180" fontId="41" fillId="7" borderId="144" xfId="0" applyNumberFormat="1" applyFont="1" applyFill="1" applyBorder="1" applyAlignment="1">
      <alignment horizontal="center" wrapText="1" shrinkToFit="1"/>
    </xf>
    <xf numFmtId="179" fontId="18" fillId="7" borderId="0" xfId="26" applyNumberFormat="1" applyFont="1" applyFill="1" applyBorder="1"/>
    <xf numFmtId="0" fontId="20" fillId="7" borderId="0" xfId="0" applyFont="1" applyFill="1" applyAlignment="1">
      <alignment vertical="top"/>
    </xf>
    <xf numFmtId="184" fontId="18" fillId="7" borderId="0" xfId="26" applyNumberFormat="1" applyFont="1" applyFill="1" applyBorder="1"/>
    <xf numFmtId="0" fontId="0" fillId="7" borderId="0" xfId="0" applyFill="1" applyAlignment="1">
      <alignment horizontal="center" vertical="center"/>
    </xf>
    <xf numFmtId="0" fontId="20" fillId="7" borderId="0" xfId="0" applyFont="1" applyFill="1" applyAlignment="1">
      <alignment vertical="center"/>
    </xf>
    <xf numFmtId="0" fontId="0" fillId="7" borderId="0" xfId="0" applyFill="1" applyAlignment="1">
      <alignment horizontal="right" vertical="center"/>
    </xf>
    <xf numFmtId="0" fontId="0" fillId="7" borderId="0" xfId="0" applyFill="1" applyAlignment="1">
      <alignment vertical="center"/>
    </xf>
    <xf numFmtId="0" fontId="134" fillId="7" borderId="0" xfId="0" applyFont="1" applyFill="1" applyAlignment="1">
      <alignment vertical="center"/>
    </xf>
    <xf numFmtId="196" fontId="20" fillId="5" borderId="158" xfId="0" applyNumberFormat="1" applyFont="1" applyFill="1" applyBorder="1" applyAlignment="1">
      <alignment horizontal="centerContinuous" wrapText="1"/>
    </xf>
    <xf numFmtId="180" fontId="23" fillId="7" borderId="0" xfId="0" applyNumberFormat="1" applyFont="1" applyFill="1"/>
    <xf numFmtId="180" fontId="23" fillId="7" borderId="0" xfId="26" applyNumberFormat="1" applyFont="1" applyFill="1" applyAlignment="1"/>
    <xf numFmtId="180" fontId="21" fillId="7" borderId="0" xfId="0" applyNumberFormat="1" applyFont="1" applyFill="1"/>
    <xf numFmtId="180" fontId="19" fillId="7" borderId="0" xfId="0" applyNumberFormat="1" applyFont="1" applyFill="1" applyAlignment="1">
      <alignment horizontal="centerContinuous"/>
    </xf>
    <xf numFmtId="180" fontId="20" fillId="7" borderId="143" xfId="0" applyNumberFormat="1" applyFont="1" applyFill="1" applyBorder="1" applyAlignment="1">
      <alignment horizontal="center" vertical="center"/>
    </xf>
    <xf numFmtId="180" fontId="20" fillId="7" borderId="114" xfId="0" applyNumberFormat="1" applyFont="1" applyFill="1" applyBorder="1" applyAlignment="1">
      <alignment horizontal="center" vertical="center" wrapText="1"/>
    </xf>
    <xf numFmtId="180" fontId="19" fillId="7" borderId="0" xfId="0" applyNumberFormat="1" applyFont="1" applyFill="1"/>
    <xf numFmtId="180" fontId="9" fillId="7" borderId="144" xfId="0" applyNumberFormat="1" applyFont="1" applyFill="1" applyBorder="1" applyAlignment="1">
      <alignment vertical="center" shrinkToFit="1"/>
    </xf>
    <xf numFmtId="180" fontId="34" fillId="7" borderId="144" xfId="0" applyNumberFormat="1" applyFont="1" applyFill="1" applyBorder="1" applyAlignment="1">
      <alignment horizontal="center" wrapText="1" shrinkToFit="1"/>
    </xf>
    <xf numFmtId="180" fontId="9" fillId="7" borderId="41" xfId="0" applyNumberFormat="1" applyFont="1" applyFill="1" applyBorder="1"/>
    <xf numFmtId="180" fontId="9" fillId="7" borderId="108" xfId="26" applyNumberFormat="1" applyFont="1" applyFill="1" applyBorder="1" applyAlignment="1"/>
    <xf numFmtId="180" fontId="9" fillId="7" borderId="110" xfId="26" applyNumberFormat="1" applyFont="1" applyFill="1" applyBorder="1" applyAlignment="1"/>
    <xf numFmtId="180" fontId="9" fillId="7" borderId="138" xfId="26" applyNumberFormat="1" applyFont="1" applyFill="1" applyBorder="1" applyAlignment="1"/>
    <xf numFmtId="180" fontId="9" fillId="7" borderId="253" xfId="26" applyNumberFormat="1" applyFont="1" applyFill="1" applyBorder="1" applyAlignment="1"/>
    <xf numFmtId="179" fontId="18" fillId="7" borderId="10" xfId="0" applyNumberFormat="1" applyFont="1" applyFill="1" applyBorder="1"/>
    <xf numFmtId="185" fontId="23" fillId="7" borderId="0" xfId="0" applyNumberFormat="1" applyFont="1" applyFill="1"/>
    <xf numFmtId="9" fontId="23" fillId="7" borderId="0" xfId="18" applyFont="1" applyFill="1" applyBorder="1" applyAlignment="1"/>
    <xf numFmtId="180" fontId="9" fillId="7" borderId="8" xfId="0" applyNumberFormat="1" applyFont="1" applyFill="1" applyBorder="1"/>
    <xf numFmtId="180" fontId="9" fillId="7" borderId="0" xfId="26" applyNumberFormat="1" applyFont="1" applyFill="1" applyBorder="1" applyAlignment="1"/>
    <xf numFmtId="180" fontId="9" fillId="7" borderId="8" xfId="26" applyNumberFormat="1" applyFont="1" applyFill="1" applyBorder="1" applyAlignment="1"/>
    <xf numFmtId="180" fontId="9" fillId="7" borderId="145" xfId="26" applyNumberFormat="1" applyFont="1" applyFill="1" applyBorder="1" applyAlignment="1"/>
    <xf numFmtId="180" fontId="9" fillId="7" borderId="109" xfId="26" applyNumberFormat="1" applyFont="1" applyFill="1" applyBorder="1" applyAlignment="1"/>
    <xf numFmtId="179" fontId="18" fillId="7" borderId="11" xfId="0" applyNumberFormat="1" applyFont="1" applyFill="1" applyBorder="1"/>
    <xf numFmtId="179" fontId="9" fillId="7" borderId="12" xfId="26" applyNumberFormat="1" applyFont="1" applyFill="1" applyBorder="1" applyAlignment="1"/>
    <xf numFmtId="180" fontId="9" fillId="7" borderId="6" xfId="0" applyNumberFormat="1" applyFont="1" applyFill="1" applyBorder="1"/>
    <xf numFmtId="180" fontId="9" fillId="7" borderId="15" xfId="26" applyNumberFormat="1" applyFont="1" applyFill="1" applyBorder="1" applyAlignment="1"/>
    <xf numFmtId="180" fontId="9" fillId="7" borderId="6" xfId="26" applyNumberFormat="1" applyFont="1" applyFill="1" applyBorder="1" applyAlignment="1"/>
    <xf numFmtId="180" fontId="9" fillId="7" borderId="140" xfId="26" applyNumberFormat="1" applyFont="1" applyFill="1" applyBorder="1" applyAlignment="1"/>
    <xf numFmtId="180" fontId="9" fillId="7" borderId="92" xfId="26" applyNumberFormat="1" applyFont="1" applyFill="1" applyBorder="1" applyAlignment="1"/>
    <xf numFmtId="179" fontId="9" fillId="7" borderId="10" xfId="26" applyNumberFormat="1" applyFont="1" applyFill="1" applyBorder="1" applyAlignment="1"/>
    <xf numFmtId="179" fontId="9" fillId="7" borderId="10" xfId="26" applyNumberFormat="1" applyFont="1" applyFill="1" applyBorder="1" applyAlignment="1">
      <alignment horizontal="right"/>
    </xf>
    <xf numFmtId="0" fontId="7" fillId="7" borderId="0" xfId="60" applyFill="1" applyAlignment="1">
      <alignment vertical="center"/>
    </xf>
    <xf numFmtId="180" fontId="9" fillId="7" borderId="7" xfId="0" applyNumberFormat="1" applyFont="1" applyFill="1" applyBorder="1"/>
    <xf numFmtId="180" fontId="9" fillId="7" borderId="242" xfId="0" applyNumberFormat="1" applyFont="1" applyFill="1" applyBorder="1"/>
    <xf numFmtId="180" fontId="9" fillId="7" borderId="2" xfId="26" applyNumberFormat="1" applyFont="1" applyFill="1" applyBorder="1" applyAlignment="1"/>
    <xf numFmtId="180" fontId="9" fillId="7" borderId="3" xfId="26" applyNumberFormat="1" applyFont="1" applyFill="1" applyBorder="1" applyAlignment="1"/>
    <xf numFmtId="180" fontId="9" fillId="7" borderId="152" xfId="26" applyNumberFormat="1" applyFont="1" applyFill="1" applyBorder="1" applyAlignment="1"/>
    <xf numFmtId="180" fontId="9" fillId="7" borderId="94" xfId="26" applyNumberFormat="1" applyFont="1" applyFill="1" applyBorder="1" applyAlignment="1"/>
    <xf numFmtId="179" fontId="9" fillId="7" borderId="93" xfId="26" applyNumberFormat="1" applyFont="1" applyFill="1" applyBorder="1" applyAlignment="1"/>
    <xf numFmtId="216" fontId="9" fillId="7" borderId="8" xfId="26" applyNumberFormat="1" applyFont="1" applyFill="1" applyBorder="1" applyAlignment="1"/>
    <xf numFmtId="216" fontId="9" fillId="7" borderId="145" xfId="26" applyNumberFormat="1" applyFont="1" applyFill="1" applyBorder="1" applyAlignment="1">
      <alignment wrapText="1"/>
    </xf>
    <xf numFmtId="216" fontId="9" fillId="7" borderId="109" xfId="26" applyNumberFormat="1" applyFont="1" applyFill="1" applyBorder="1" applyAlignment="1"/>
    <xf numFmtId="179" fontId="9" fillId="7" borderId="12" xfId="26" applyNumberFormat="1" applyFont="1" applyFill="1" applyBorder="1" applyAlignment="1">
      <alignment horizontal="right"/>
    </xf>
    <xf numFmtId="216" fontId="9" fillId="7" borderId="145" xfId="26" applyNumberFormat="1" applyFont="1" applyFill="1" applyBorder="1" applyAlignment="1"/>
    <xf numFmtId="179" fontId="18" fillId="7" borderId="93" xfId="0" applyNumberFormat="1" applyFont="1" applyFill="1" applyBorder="1"/>
    <xf numFmtId="185" fontId="9" fillId="7" borderId="8" xfId="26" applyNumberFormat="1" applyFont="1" applyFill="1" applyBorder="1" applyAlignment="1"/>
    <xf numFmtId="185" fontId="9" fillId="7" borderId="145" xfId="26" applyNumberFormat="1" applyFont="1" applyFill="1" applyBorder="1" applyAlignment="1"/>
    <xf numFmtId="185" fontId="9" fillId="7" borderId="109" xfId="26" applyNumberFormat="1" applyFont="1" applyFill="1" applyBorder="1" applyAlignment="1"/>
    <xf numFmtId="194" fontId="9" fillId="7" borderId="8" xfId="26" applyNumberFormat="1" applyFont="1" applyFill="1" applyBorder="1" applyAlignment="1"/>
    <xf numFmtId="194" fontId="9" fillId="7" borderId="145" xfId="26" applyNumberFormat="1" applyFont="1" applyFill="1" applyBorder="1" applyAlignment="1"/>
    <xf numFmtId="217" fontId="9" fillId="7" borderId="0" xfId="336" applyNumberFormat="1" applyFill="1"/>
    <xf numFmtId="218" fontId="9" fillId="7" borderId="8" xfId="26" applyNumberFormat="1" applyFont="1" applyFill="1" applyBorder="1" applyAlignment="1"/>
    <xf numFmtId="218" fontId="9" fillId="7" borderId="145" xfId="26" applyNumberFormat="1" applyFont="1" applyFill="1" applyBorder="1" applyAlignment="1"/>
    <xf numFmtId="219" fontId="9" fillId="7" borderId="0" xfId="336" applyNumberFormat="1" applyFill="1"/>
    <xf numFmtId="180" fontId="9" fillId="7" borderId="8" xfId="26" applyNumberFormat="1" applyFont="1" applyFill="1" applyBorder="1" applyAlignment="1">
      <alignment horizontal="right"/>
    </xf>
    <xf numFmtId="180" fontId="9" fillId="7" borderId="60" xfId="26" applyNumberFormat="1" applyFont="1" applyFill="1" applyBorder="1" applyAlignment="1"/>
    <xf numFmtId="179" fontId="9" fillId="7" borderId="51" xfId="26" applyNumberFormat="1" applyFont="1" applyFill="1" applyBorder="1" applyAlignment="1"/>
    <xf numFmtId="180" fontId="9" fillId="7" borderId="0" xfId="0" applyNumberFormat="1" applyFont="1" applyFill="1"/>
    <xf numFmtId="220" fontId="9" fillId="7" borderId="0" xfId="0" applyNumberFormat="1" applyFont="1" applyFill="1"/>
    <xf numFmtId="180" fontId="9" fillId="7" borderId="0" xfId="26" applyNumberFormat="1" applyFont="1" applyFill="1" applyAlignment="1"/>
    <xf numFmtId="38" fontId="20" fillId="7" borderId="143" xfId="26" applyFont="1" applyFill="1" applyBorder="1" applyAlignment="1">
      <alignment horizontal="center" vertical="center" wrapText="1"/>
    </xf>
    <xf numFmtId="0" fontId="7" fillId="7" borderId="0" xfId="60" applyFill="1"/>
    <xf numFmtId="0" fontId="20" fillId="7" borderId="0" xfId="60" applyFont="1" applyFill="1"/>
    <xf numFmtId="0" fontId="19" fillId="7" borderId="0" xfId="60" applyFont="1" applyFill="1" applyAlignment="1">
      <alignment horizontal="right"/>
    </xf>
    <xf numFmtId="0" fontId="20" fillId="7" borderId="0" xfId="60" applyFont="1" applyFill="1" applyAlignment="1">
      <alignment horizontal="right"/>
    </xf>
    <xf numFmtId="0" fontId="7" fillId="7" borderId="0" xfId="60" applyFill="1" applyAlignment="1">
      <alignment horizontal="center" vertical="center"/>
    </xf>
    <xf numFmtId="0" fontId="20" fillId="7" borderId="0" xfId="60" applyFont="1" applyFill="1" applyAlignment="1">
      <alignment horizontal="center" vertical="center"/>
    </xf>
    <xf numFmtId="49" fontId="20" fillId="7" borderId="53" xfId="60" applyNumberFormat="1" applyFont="1" applyFill="1" applyBorder="1" applyAlignment="1">
      <alignment horizontal="center" vertical="center"/>
    </xf>
    <xf numFmtId="49" fontId="20" fillId="7" borderId="22" xfId="60" applyNumberFormat="1" applyFont="1" applyFill="1" applyBorder="1" applyAlignment="1">
      <alignment horizontal="center" vertical="center"/>
    </xf>
    <xf numFmtId="196" fontId="20" fillId="7" borderId="148" xfId="0" applyNumberFormat="1" applyFont="1" applyFill="1" applyBorder="1" applyAlignment="1">
      <alignment horizontal="centerContinuous" vertical="center" shrinkToFit="1"/>
    </xf>
    <xf numFmtId="49" fontId="20" fillId="7" borderId="154" xfId="60" applyNumberFormat="1" applyFont="1" applyFill="1" applyBorder="1" applyAlignment="1">
      <alignment horizontal="center" vertical="center"/>
    </xf>
    <xf numFmtId="49" fontId="20" fillId="7" borderId="186" xfId="60" applyNumberFormat="1" applyFont="1" applyFill="1" applyBorder="1" applyAlignment="1">
      <alignment horizontal="center" vertical="center"/>
    </xf>
    <xf numFmtId="38" fontId="7" fillId="7" borderId="0" xfId="60" applyNumberFormat="1" applyFill="1"/>
    <xf numFmtId="184" fontId="18" fillId="7" borderId="16" xfId="26" applyNumberFormat="1" applyFont="1" applyFill="1" applyBorder="1" applyAlignment="1">
      <alignment horizontal="right"/>
    </xf>
    <xf numFmtId="184" fontId="18" fillId="7" borderId="6" xfId="26" applyNumberFormat="1" applyFont="1" applyFill="1" applyBorder="1" applyAlignment="1">
      <alignment horizontal="right"/>
    </xf>
    <xf numFmtId="0" fontId="20" fillId="7" borderId="0" xfId="60" applyFont="1" applyFill="1" applyAlignment="1">
      <alignment horizontal="center"/>
    </xf>
    <xf numFmtId="176" fontId="18" fillId="7" borderId="0" xfId="60" applyNumberFormat="1" applyFont="1" applyFill="1"/>
    <xf numFmtId="191" fontId="18" fillId="7" borderId="0" xfId="60" applyNumberFormat="1" applyFont="1" applyFill="1" applyAlignment="1">
      <alignment horizontal="center"/>
    </xf>
    <xf numFmtId="200" fontId="18" fillId="7" borderId="44" xfId="26" applyNumberFormat="1" applyFont="1" applyFill="1" applyBorder="1" applyAlignment="1">
      <alignment horizontal="right"/>
    </xf>
    <xf numFmtId="200" fontId="18" fillId="7" borderId="44" xfId="26" applyNumberFormat="1" applyFont="1" applyFill="1" applyBorder="1"/>
    <xf numFmtId="200" fontId="18" fillId="7" borderId="26" xfId="26" applyNumberFormat="1" applyFont="1" applyFill="1" applyBorder="1" applyAlignment="1">
      <alignment horizontal="right"/>
    </xf>
    <xf numFmtId="200" fontId="18" fillId="7" borderId="26" xfId="26" applyNumberFormat="1" applyFont="1" applyFill="1" applyBorder="1"/>
    <xf numFmtId="49" fontId="20" fillId="7" borderId="139" xfId="60" applyNumberFormat="1" applyFont="1" applyFill="1" applyBorder="1" applyAlignment="1">
      <alignment horizontal="center" vertical="center"/>
    </xf>
    <xf numFmtId="0" fontId="20" fillId="7" borderId="8" xfId="60" applyFont="1" applyFill="1" applyBorder="1" applyAlignment="1">
      <alignment vertical="top" wrapText="1"/>
    </xf>
    <xf numFmtId="0" fontId="0" fillId="7" borderId="0" xfId="60" applyFont="1" applyFill="1"/>
    <xf numFmtId="14" fontId="7" fillId="7" borderId="0" xfId="60" applyNumberFormat="1" applyFill="1"/>
    <xf numFmtId="0" fontId="20" fillId="7" borderId="6" xfId="60" applyFont="1" applyFill="1" applyBorder="1" applyAlignment="1">
      <alignment vertical="top" wrapText="1"/>
    </xf>
    <xf numFmtId="184" fontId="18" fillId="7" borderId="0" xfId="26" applyNumberFormat="1" applyFont="1" applyFill="1" applyBorder="1" applyAlignment="1">
      <alignment horizontal="right"/>
    </xf>
    <xf numFmtId="184" fontId="18" fillId="7" borderId="0" xfId="26" applyNumberFormat="1" applyFont="1" applyFill="1" applyBorder="1" applyAlignment="1">
      <alignment horizontal="center"/>
    </xf>
    <xf numFmtId="38" fontId="20" fillId="7" borderId="0" xfId="26" applyFont="1" applyFill="1" applyAlignment="1">
      <alignment vertical="center"/>
    </xf>
    <xf numFmtId="38" fontId="20" fillId="7" borderId="141" xfId="26" applyFont="1" applyFill="1" applyBorder="1" applyAlignment="1">
      <alignment horizontal="center" vertical="center" wrapText="1"/>
    </xf>
    <xf numFmtId="38" fontId="20" fillId="7" borderId="137" xfId="26" applyFont="1" applyFill="1" applyBorder="1" applyAlignment="1">
      <alignment horizontal="center" vertical="center" wrapText="1"/>
    </xf>
    <xf numFmtId="49" fontId="20" fillId="7" borderId="207" xfId="60" applyNumberFormat="1" applyFont="1" applyFill="1" applyBorder="1" applyAlignment="1">
      <alignment horizontal="center" vertical="center"/>
    </xf>
    <xf numFmtId="49" fontId="19" fillId="7" borderId="0" xfId="26" applyNumberFormat="1" applyFont="1" applyFill="1" applyBorder="1" applyAlignment="1">
      <alignment vertical="center"/>
    </xf>
    <xf numFmtId="49" fontId="20" fillId="7" borderId="181" xfId="60" applyNumberFormat="1" applyFont="1" applyFill="1" applyBorder="1" applyAlignment="1">
      <alignment horizontal="center" vertical="center"/>
    </xf>
    <xf numFmtId="49" fontId="20" fillId="7" borderId="208" xfId="60" applyNumberFormat="1" applyFont="1" applyFill="1" applyBorder="1" applyAlignment="1">
      <alignment horizontal="center" vertical="center"/>
    </xf>
    <xf numFmtId="38" fontId="19" fillId="7" borderId="3" xfId="26" applyFont="1" applyFill="1" applyBorder="1" applyAlignment="1">
      <alignment vertical="center"/>
    </xf>
    <xf numFmtId="49" fontId="20" fillId="7" borderId="54" xfId="60" applyNumberFormat="1" applyFont="1" applyFill="1" applyBorder="1" applyAlignment="1">
      <alignment horizontal="center" vertical="center"/>
    </xf>
    <xf numFmtId="49" fontId="20" fillId="7" borderId="198" xfId="60" applyNumberFormat="1" applyFont="1" applyFill="1" applyBorder="1" applyAlignment="1">
      <alignment horizontal="center" vertical="center"/>
    </xf>
    <xf numFmtId="0" fontId="20" fillId="7" borderId="0" xfId="61" applyFont="1" applyFill="1"/>
    <xf numFmtId="0" fontId="19" fillId="7" borderId="0" xfId="0" applyFont="1" applyFill="1"/>
    <xf numFmtId="38" fontId="20" fillId="7" borderId="156" xfId="26" applyFont="1" applyFill="1" applyBorder="1" applyAlignment="1">
      <alignment horizontal="center" vertical="center" wrapText="1"/>
    </xf>
    <xf numFmtId="196" fontId="20" fillId="7" borderId="157" xfId="0" applyNumberFormat="1" applyFont="1" applyFill="1" applyBorder="1" applyAlignment="1">
      <alignment horizontal="centerContinuous" vertical="center" shrinkToFit="1"/>
    </xf>
    <xf numFmtId="180" fontId="41" fillId="7" borderId="148" xfId="0" applyNumberFormat="1" applyFont="1" applyFill="1" applyBorder="1" applyAlignment="1">
      <alignment horizontal="center" wrapText="1" shrinkToFit="1"/>
    </xf>
    <xf numFmtId="178" fontId="18" fillId="7" borderId="44" xfId="26" applyNumberFormat="1" applyFont="1" applyFill="1" applyBorder="1" applyAlignment="1">
      <alignment horizontal="right"/>
    </xf>
    <xf numFmtId="0" fontId="20" fillId="7" borderId="0" xfId="60" applyFont="1" applyFill="1" applyAlignment="1">
      <alignment shrinkToFit="1"/>
    </xf>
    <xf numFmtId="178" fontId="18" fillId="7" borderId="26" xfId="26" applyNumberFormat="1" applyFont="1" applyFill="1" applyBorder="1"/>
    <xf numFmtId="178" fontId="18" fillId="7" borderId="145" xfId="26" applyNumberFormat="1" applyFont="1" applyFill="1" applyBorder="1"/>
    <xf numFmtId="184" fontId="18" fillId="7" borderId="150" xfId="26" applyNumberFormat="1" applyFont="1" applyFill="1" applyBorder="1" applyAlignment="1">
      <alignment horizontal="right"/>
    </xf>
    <xf numFmtId="184" fontId="18" fillId="7" borderId="158" xfId="26" applyNumberFormat="1" applyFont="1" applyFill="1" applyBorder="1" applyAlignment="1"/>
    <xf numFmtId="184" fontId="18" fillId="7" borderId="158" xfId="26" applyNumberFormat="1" applyFont="1" applyFill="1" applyBorder="1" applyAlignment="1">
      <alignment horizontal="right"/>
    </xf>
    <xf numFmtId="184" fontId="18" fillId="7" borderId="159" xfId="26" applyNumberFormat="1" applyFont="1" applyFill="1" applyBorder="1" applyAlignment="1">
      <alignment horizontal="right"/>
    </xf>
    <xf numFmtId="184" fontId="18" fillId="7" borderId="140" xfId="26" applyNumberFormat="1" applyFont="1" applyFill="1" applyBorder="1" applyAlignment="1">
      <alignment horizontal="right"/>
    </xf>
    <xf numFmtId="0" fontId="20" fillId="7" borderId="15" xfId="60" applyFont="1" applyFill="1" applyBorder="1" applyAlignment="1">
      <alignment shrinkToFit="1"/>
    </xf>
    <xf numFmtId="184" fontId="18" fillId="7" borderId="92" xfId="26" applyNumberFormat="1" applyFont="1" applyFill="1" applyBorder="1" applyAlignment="1">
      <alignment horizontal="right"/>
    </xf>
    <xf numFmtId="184" fontId="18" fillId="7" borderId="75" xfId="26" applyNumberFormat="1" applyFont="1" applyFill="1" applyBorder="1" applyAlignment="1">
      <alignment horizontal="right"/>
    </xf>
    <xf numFmtId="178" fontId="18" fillId="7" borderId="139" xfId="26" applyNumberFormat="1" applyFont="1" applyFill="1" applyBorder="1" applyAlignment="1">
      <alignment horizontal="right"/>
    </xf>
    <xf numFmtId="178" fontId="18" fillId="7" borderId="109" xfId="26" applyNumberFormat="1" applyFont="1" applyFill="1" applyBorder="1" applyAlignment="1">
      <alignment horizontal="right"/>
    </xf>
    <xf numFmtId="178" fontId="18" fillId="7" borderId="145" xfId="26" applyNumberFormat="1" applyFont="1" applyFill="1" applyBorder="1" applyAlignment="1">
      <alignment horizontal="right"/>
    </xf>
    <xf numFmtId="0" fontId="20" fillId="7" borderId="22" xfId="60" applyFont="1" applyFill="1" applyBorder="1" applyAlignment="1">
      <alignment vertical="top" wrapText="1"/>
    </xf>
    <xf numFmtId="0" fontId="20" fillId="7" borderId="54" xfId="60" applyFont="1" applyFill="1" applyBorder="1" applyAlignment="1">
      <alignment shrinkToFit="1"/>
    </xf>
    <xf numFmtId="178" fontId="18" fillId="7" borderId="95" xfId="26" applyNumberFormat="1" applyFont="1" applyFill="1" applyBorder="1" applyAlignment="1">
      <alignment horizontal="right"/>
    </xf>
    <xf numFmtId="184" fontId="18" fillId="7" borderId="151" xfId="26" applyNumberFormat="1" applyFont="1" applyFill="1" applyBorder="1" applyAlignment="1">
      <alignment horizontal="right"/>
    </xf>
    <xf numFmtId="184" fontId="18" fillId="7" borderId="160" xfId="26" applyNumberFormat="1" applyFont="1" applyFill="1" applyBorder="1" applyAlignment="1"/>
    <xf numFmtId="184" fontId="18" fillId="7" borderId="161" xfId="26" applyNumberFormat="1" applyFont="1" applyFill="1" applyBorder="1" applyAlignment="1">
      <alignment horizontal="right"/>
    </xf>
    <xf numFmtId="184" fontId="18" fillId="7" borderId="60" xfId="26" applyNumberFormat="1" applyFont="1" applyFill="1" applyBorder="1" applyAlignment="1">
      <alignment horizontal="right"/>
    </xf>
    <xf numFmtId="184" fontId="18" fillId="7" borderId="90" xfId="26" applyNumberFormat="1" applyFont="1" applyFill="1" applyBorder="1" applyAlignment="1">
      <alignment horizontal="right"/>
    </xf>
    <xf numFmtId="0" fontId="20" fillId="7" borderId="0" xfId="60" applyFont="1" applyFill="1" applyAlignment="1">
      <alignment vertical="top" wrapText="1"/>
    </xf>
    <xf numFmtId="0" fontId="20" fillId="7" borderId="156" xfId="60" applyFont="1" applyFill="1" applyBorder="1" applyAlignment="1">
      <alignment horizontal="center" vertical="center"/>
    </xf>
    <xf numFmtId="38" fontId="20" fillId="7" borderId="141" xfId="60" applyNumberFormat="1" applyFont="1" applyFill="1" applyBorder="1" applyAlignment="1">
      <alignment horizontal="center" vertical="center" shrinkToFit="1"/>
    </xf>
    <xf numFmtId="0" fontId="20" fillId="7" borderId="157" xfId="60" applyFont="1" applyFill="1" applyBorder="1" applyAlignment="1">
      <alignment horizontal="center" vertical="center"/>
    </xf>
    <xf numFmtId="0" fontId="20" fillId="7" borderId="148" xfId="60" applyFont="1" applyFill="1" applyBorder="1" applyAlignment="1">
      <alignment horizontal="center" vertical="center"/>
    </xf>
    <xf numFmtId="200" fontId="18" fillId="7" borderId="109" xfId="26" applyNumberFormat="1" applyFont="1" applyFill="1" applyBorder="1"/>
    <xf numFmtId="184" fontId="18" fillId="7" borderId="159" xfId="26" applyNumberFormat="1" applyFont="1" applyFill="1" applyBorder="1" applyAlignment="1"/>
    <xf numFmtId="200" fontId="18" fillId="7" borderId="7" xfId="26" applyNumberFormat="1" applyFont="1" applyFill="1" applyBorder="1"/>
    <xf numFmtId="200" fontId="18" fillId="7" borderId="139" xfId="26" applyNumberFormat="1" applyFont="1" applyFill="1" applyBorder="1"/>
    <xf numFmtId="200" fontId="18" fillId="7" borderId="95" xfId="26" applyNumberFormat="1" applyFont="1" applyFill="1" applyBorder="1"/>
    <xf numFmtId="200" fontId="18" fillId="7" borderId="145" xfId="26" applyNumberFormat="1" applyFont="1" applyFill="1" applyBorder="1"/>
    <xf numFmtId="184" fontId="18" fillId="7" borderId="161" xfId="26" applyNumberFormat="1" applyFont="1" applyFill="1" applyBorder="1" applyAlignment="1"/>
    <xf numFmtId="0" fontId="0" fillId="7" borderId="115" xfId="0" applyFill="1" applyBorder="1" applyAlignment="1">
      <alignment horizontal="center"/>
    </xf>
    <xf numFmtId="49" fontId="20" fillId="7" borderId="22" xfId="0" applyNumberFormat="1" applyFont="1" applyFill="1" applyBorder="1" applyAlignment="1">
      <alignment horizontal="center"/>
    </xf>
    <xf numFmtId="0" fontId="20" fillId="7" borderId="22" xfId="0" applyFont="1" applyFill="1" applyBorder="1" applyAlignment="1">
      <alignment horizontal="center"/>
    </xf>
    <xf numFmtId="0" fontId="20" fillId="7" borderId="53" xfId="0" applyFont="1" applyFill="1" applyBorder="1" applyAlignment="1">
      <alignment horizontal="center"/>
    </xf>
    <xf numFmtId="0" fontId="20" fillId="7" borderId="114" xfId="0" applyFont="1" applyFill="1" applyBorder="1" applyAlignment="1">
      <alignment horizontal="center"/>
    </xf>
    <xf numFmtId="0" fontId="0" fillId="7" borderId="8" xfId="0" applyFill="1" applyBorder="1" applyAlignment="1">
      <alignment horizontal="center"/>
    </xf>
    <xf numFmtId="0" fontId="20" fillId="7" borderId="7" xfId="0" applyFont="1" applyFill="1" applyBorder="1" applyAlignment="1">
      <alignment horizontal="center"/>
    </xf>
    <xf numFmtId="0" fontId="20" fillId="7" borderId="46" xfId="0" applyFont="1" applyFill="1" applyBorder="1" applyAlignment="1">
      <alignment horizontal="center"/>
    </xf>
    <xf numFmtId="0" fontId="20" fillId="7" borderId="110" xfId="61" applyFont="1" applyFill="1" applyBorder="1" applyAlignment="1">
      <alignment horizontal="left" vertical="top"/>
    </xf>
    <xf numFmtId="0" fontId="20" fillId="7" borderId="33" xfId="61" applyFont="1" applyFill="1" applyBorder="1" applyAlignment="1">
      <alignment horizontal="left" vertical="top"/>
    </xf>
    <xf numFmtId="38" fontId="18" fillId="7" borderId="33" xfId="61" applyNumberFormat="1" applyFont="1" applyFill="1" applyBorder="1" applyAlignment="1">
      <alignment horizontal="right"/>
    </xf>
    <xf numFmtId="38" fontId="18" fillId="7" borderId="138" xfId="61" applyNumberFormat="1" applyFont="1" applyFill="1" applyBorder="1" applyAlignment="1">
      <alignment horizontal="right"/>
    </xf>
    <xf numFmtId="38" fontId="18" fillId="7" borderId="129" xfId="61" applyNumberFormat="1" applyFont="1" applyFill="1" applyBorder="1" applyAlignment="1">
      <alignment horizontal="right"/>
    </xf>
    <xf numFmtId="179" fontId="18" fillId="7" borderId="129" xfId="61" applyNumberFormat="1" applyFont="1" applyFill="1" applyBorder="1" applyAlignment="1">
      <alignment horizontal="right"/>
    </xf>
    <xf numFmtId="38" fontId="18" fillId="7" borderId="5" xfId="61" applyNumberFormat="1" applyFont="1" applyFill="1" applyBorder="1" applyAlignment="1">
      <alignment horizontal="right"/>
    </xf>
    <xf numFmtId="0" fontId="20" fillId="7" borderId="3" xfId="61" applyFont="1" applyFill="1" applyBorder="1" applyAlignment="1">
      <alignment horizontal="left" vertical="top"/>
    </xf>
    <xf numFmtId="0" fontId="20" fillId="7" borderId="5" xfId="61" applyFont="1" applyFill="1" applyBorder="1" applyAlignment="1">
      <alignment horizontal="left" vertical="top"/>
    </xf>
    <xf numFmtId="38" fontId="18" fillId="7" borderId="206" xfId="61" applyNumberFormat="1" applyFont="1" applyFill="1" applyBorder="1" applyAlignment="1">
      <alignment horizontal="right"/>
    </xf>
    <xf numFmtId="38" fontId="18" fillId="7" borderId="79" xfId="61" applyNumberFormat="1" applyFont="1" applyFill="1" applyBorder="1" applyAlignment="1">
      <alignment horizontal="right"/>
    </xf>
    <xf numFmtId="179" fontId="18" fillId="7" borderId="79" xfId="61" applyNumberFormat="1" applyFont="1" applyFill="1" applyBorder="1" applyAlignment="1">
      <alignment horizontal="right"/>
    </xf>
    <xf numFmtId="0" fontId="20" fillId="7" borderId="110" xfId="61" applyFont="1" applyFill="1" applyBorder="1" applyAlignment="1">
      <alignment horizontal="left"/>
    </xf>
    <xf numFmtId="0" fontId="20" fillId="7" borderId="33" xfId="61" applyFont="1" applyFill="1" applyBorder="1" applyAlignment="1">
      <alignment horizontal="left"/>
    </xf>
    <xf numFmtId="38" fontId="18" fillId="7" borderId="113" xfId="61" applyNumberFormat="1" applyFont="1" applyFill="1" applyBorder="1" applyAlignment="1">
      <alignment horizontal="right"/>
    </xf>
    <xf numFmtId="179" fontId="18" fillId="7" borderId="113" xfId="61" applyNumberFormat="1" applyFont="1" applyFill="1" applyBorder="1" applyAlignment="1">
      <alignment horizontal="right"/>
    </xf>
    <xf numFmtId="0" fontId="51" fillId="7" borderId="0" xfId="60" applyFont="1" applyFill="1"/>
    <xf numFmtId="178" fontId="18" fillId="7" borderId="0" xfId="26" applyNumberFormat="1" applyFont="1" applyFill="1" applyBorder="1" applyAlignment="1">
      <alignment horizontal="right"/>
    </xf>
    <xf numFmtId="178" fontId="18" fillId="7" borderId="0" xfId="26" applyNumberFormat="1" applyFont="1" applyFill="1" applyBorder="1"/>
    <xf numFmtId="0" fontId="20" fillId="7" borderId="7" xfId="0" applyFont="1" applyFill="1" applyBorder="1" applyAlignment="1">
      <alignment vertical="top" wrapText="1"/>
    </xf>
    <xf numFmtId="178" fontId="18" fillId="7" borderId="133" xfId="26" applyNumberFormat="1" applyFont="1" applyFill="1" applyBorder="1"/>
    <xf numFmtId="178" fontId="18" fillId="7" borderId="147" xfId="26" applyNumberFormat="1" applyFont="1" applyFill="1" applyBorder="1"/>
    <xf numFmtId="184" fontId="18" fillId="7" borderId="12" xfId="26" applyNumberFormat="1" applyFont="1" applyFill="1" applyBorder="1" applyAlignment="1"/>
    <xf numFmtId="0" fontId="20" fillId="7" borderId="9" xfId="0" applyFont="1" applyFill="1" applyBorder="1" applyAlignment="1">
      <alignment vertical="top" wrapText="1"/>
    </xf>
    <xf numFmtId="184" fontId="18" fillId="7" borderId="50" xfId="26" applyNumberFormat="1" applyFont="1" applyFill="1" applyBorder="1" applyAlignment="1">
      <alignment horizontal="right"/>
    </xf>
    <xf numFmtId="184" fontId="18" fillId="7" borderId="167" xfId="26" applyNumberFormat="1" applyFont="1" applyFill="1" applyBorder="1" applyAlignment="1">
      <alignment horizontal="right"/>
    </xf>
    <xf numFmtId="184" fontId="18" fillId="7" borderId="10" xfId="26" applyNumberFormat="1" applyFont="1" applyFill="1" applyBorder="1" applyAlignment="1"/>
    <xf numFmtId="178" fontId="18" fillId="7" borderId="147" xfId="26" applyNumberFormat="1" applyFont="1" applyFill="1" applyBorder="1" applyAlignment="1">
      <alignment horizontal="right"/>
    </xf>
    <xf numFmtId="0" fontId="20" fillId="7" borderId="8" xfId="0" applyFont="1" applyFill="1" applyBorder="1"/>
    <xf numFmtId="0" fontId="20" fillId="7" borderId="6" xfId="0" applyFont="1" applyFill="1" applyBorder="1"/>
    <xf numFmtId="184" fontId="18" fillId="7" borderId="9" xfId="26" applyNumberFormat="1" applyFont="1" applyFill="1" applyBorder="1" applyAlignment="1">
      <alignment horizontal="right"/>
    </xf>
    <xf numFmtId="0" fontId="7" fillId="7" borderId="20" xfId="60" applyFill="1" applyBorder="1" applyAlignment="1">
      <alignment horizontal="center" vertical="center"/>
    </xf>
    <xf numFmtId="49" fontId="20" fillId="7" borderId="23" xfId="60" applyNumberFormat="1" applyFont="1" applyFill="1" applyBorder="1" applyAlignment="1">
      <alignment horizontal="center" vertical="center"/>
    </xf>
    <xf numFmtId="49" fontId="20" fillId="7" borderId="20" xfId="60" applyNumberFormat="1" applyFont="1" applyFill="1" applyBorder="1" applyAlignment="1">
      <alignment horizontal="center" vertical="center"/>
    </xf>
    <xf numFmtId="49" fontId="20" fillId="7" borderId="171" xfId="60" applyNumberFormat="1" applyFont="1" applyFill="1" applyBorder="1" applyAlignment="1">
      <alignment horizontal="center" vertical="center"/>
    </xf>
    <xf numFmtId="49" fontId="20" fillId="7" borderId="126" xfId="60" applyNumberFormat="1" applyFont="1" applyFill="1" applyBorder="1" applyAlignment="1">
      <alignment horizontal="center" vertical="center"/>
    </xf>
    <xf numFmtId="49" fontId="20" fillId="7" borderId="24" xfId="60" applyNumberFormat="1" applyFont="1" applyFill="1" applyBorder="1" applyAlignment="1">
      <alignment horizontal="center" vertical="center"/>
    </xf>
    <xf numFmtId="200" fontId="18" fillId="7" borderId="147" xfId="26" applyNumberFormat="1" applyFont="1" applyFill="1" applyBorder="1"/>
    <xf numFmtId="184" fontId="18" fillId="7" borderId="12" xfId="26" applyNumberFormat="1" applyFont="1" applyFill="1" applyBorder="1" applyAlignment="1">
      <alignment horizontal="right"/>
    </xf>
    <xf numFmtId="184" fontId="18" fillId="7" borderId="10" xfId="26" applyNumberFormat="1" applyFont="1" applyFill="1" applyBorder="1" applyAlignment="1">
      <alignment horizontal="right"/>
    </xf>
    <xf numFmtId="38" fontId="7" fillId="7" borderId="3" xfId="60" applyNumberFormat="1" applyFill="1" applyBorder="1"/>
    <xf numFmtId="38" fontId="0" fillId="7" borderId="3" xfId="60" applyNumberFormat="1" applyFont="1" applyFill="1" applyBorder="1"/>
    <xf numFmtId="38" fontId="19" fillId="7" borderId="0" xfId="282" applyNumberFormat="1" applyFont="1" applyFill="1">
      <alignment vertical="center"/>
    </xf>
    <xf numFmtId="180" fontId="23" fillId="7" borderId="3" xfId="0" applyNumberFormat="1" applyFont="1" applyFill="1" applyBorder="1"/>
    <xf numFmtId="180" fontId="20" fillId="7" borderId="9" xfId="0" applyNumberFormat="1" applyFont="1" applyFill="1" applyBorder="1"/>
    <xf numFmtId="178" fontId="18" fillId="7" borderId="9" xfId="26" applyNumberFormat="1" applyFont="1" applyFill="1" applyBorder="1" applyAlignment="1"/>
    <xf numFmtId="178" fontId="18" fillId="7" borderId="16" xfId="26" applyNumberFormat="1" applyFont="1" applyFill="1" applyBorder="1" applyAlignment="1"/>
    <xf numFmtId="178" fontId="18" fillId="7" borderId="140" xfId="26" applyNumberFormat="1" applyFont="1" applyFill="1" applyBorder="1" applyAlignment="1"/>
    <xf numFmtId="178" fontId="18" fillId="7" borderId="167" xfId="26" applyNumberFormat="1" applyFont="1" applyFill="1" applyBorder="1" applyAlignment="1"/>
    <xf numFmtId="179" fontId="18" fillId="7" borderId="159" xfId="0" applyNumberFormat="1" applyFont="1" applyFill="1" applyBorder="1"/>
    <xf numFmtId="180" fontId="20" fillId="7" borderId="7" xfId="0" applyNumberFormat="1" applyFont="1" applyFill="1" applyBorder="1"/>
    <xf numFmtId="178" fontId="18" fillId="7" borderId="7" xfId="26" applyNumberFormat="1" applyFont="1" applyFill="1" applyBorder="1" applyAlignment="1"/>
    <xf numFmtId="180" fontId="20" fillId="7" borderId="5" xfId="0" applyNumberFormat="1" applyFont="1" applyFill="1" applyBorder="1"/>
    <xf numFmtId="178" fontId="18" fillId="7" borderId="5" xfId="26" applyNumberFormat="1" applyFont="1" applyFill="1" applyBorder="1" applyAlignment="1"/>
    <xf numFmtId="178" fontId="18" fillId="7" borderId="19" xfId="26" applyNumberFormat="1" applyFont="1" applyFill="1" applyBorder="1" applyAlignment="1"/>
    <xf numFmtId="178" fontId="18" fillId="7" borderId="152" xfId="26" applyNumberFormat="1" applyFont="1" applyFill="1" applyBorder="1" applyAlignment="1"/>
    <xf numFmtId="178" fontId="18" fillId="7" borderId="170" xfId="26" applyNumberFormat="1" applyFont="1" applyFill="1" applyBorder="1" applyAlignment="1"/>
    <xf numFmtId="179" fontId="18" fillId="7" borderId="131" xfId="0" applyNumberFormat="1" applyFont="1" applyFill="1" applyBorder="1"/>
    <xf numFmtId="179" fontId="18" fillId="7" borderId="19" xfId="26" applyNumberFormat="1" applyFont="1" applyFill="1" applyBorder="1" applyAlignment="1"/>
    <xf numFmtId="179" fontId="18" fillId="7" borderId="5" xfId="26" applyNumberFormat="1" applyFont="1" applyFill="1" applyBorder="1" applyAlignment="1"/>
    <xf numFmtId="179" fontId="18" fillId="7" borderId="170" xfId="26" applyNumberFormat="1" applyFont="1" applyFill="1" applyBorder="1" applyAlignment="1"/>
    <xf numFmtId="178" fontId="18" fillId="7" borderId="53" xfId="26" applyNumberFormat="1" applyFont="1" applyFill="1" applyBorder="1" applyAlignment="1"/>
    <xf numFmtId="178" fontId="18" fillId="7" borderId="44" xfId="26" applyNumberFormat="1" applyFont="1" applyFill="1" applyBorder="1" applyAlignment="1"/>
    <xf numFmtId="180" fontId="20" fillId="7" borderId="53" xfId="0" applyNumberFormat="1" applyFont="1" applyFill="1" applyBorder="1"/>
    <xf numFmtId="178" fontId="18" fillId="7" borderId="139" xfId="26" applyNumberFormat="1" applyFont="1" applyFill="1" applyBorder="1" applyAlignment="1"/>
    <xf numFmtId="178" fontId="18" fillId="7" borderId="168" xfId="26" applyNumberFormat="1" applyFont="1" applyFill="1" applyBorder="1" applyAlignment="1"/>
    <xf numFmtId="179" fontId="18" fillId="7" borderId="160" xfId="0" applyNumberFormat="1" applyFont="1" applyFill="1" applyBorder="1"/>
    <xf numFmtId="180" fontId="20" fillId="7" borderId="9" xfId="26" applyNumberFormat="1" applyFont="1" applyFill="1" applyBorder="1" applyAlignment="1"/>
    <xf numFmtId="180" fontId="20" fillId="7" borderId="59" xfId="26" applyNumberFormat="1" applyFont="1" applyFill="1" applyBorder="1" applyAlignment="1"/>
    <xf numFmtId="178" fontId="18" fillId="7" borderId="59" xfId="26" applyNumberFormat="1" applyFont="1" applyFill="1" applyBorder="1" applyAlignment="1"/>
    <xf numFmtId="178" fontId="18" fillId="7" borderId="80" xfId="26" applyNumberFormat="1" applyFont="1" applyFill="1" applyBorder="1" applyAlignment="1"/>
    <xf numFmtId="178" fontId="18" fillId="7" borderId="59" xfId="26" applyNumberFormat="1" applyFont="1" applyFill="1" applyBorder="1" applyAlignment="1">
      <alignment wrapText="1"/>
    </xf>
    <xf numFmtId="178" fontId="18" fillId="7" borderId="195" xfId="26" applyNumberFormat="1" applyFont="1" applyFill="1" applyBorder="1" applyAlignment="1"/>
    <xf numFmtId="178" fontId="18" fillId="7" borderId="173" xfId="26" applyNumberFormat="1" applyFont="1" applyFill="1" applyBorder="1" applyAlignment="1"/>
    <xf numFmtId="179" fontId="18" fillId="7" borderId="184" xfId="0" applyNumberFormat="1" applyFont="1" applyFill="1" applyBorder="1"/>
    <xf numFmtId="179" fontId="18" fillId="7" borderId="88" xfId="0" applyNumberFormat="1" applyFont="1" applyFill="1" applyBorder="1"/>
    <xf numFmtId="178" fontId="18" fillId="7" borderId="94" xfId="26" applyNumberFormat="1" applyFont="1" applyFill="1" applyBorder="1" applyAlignment="1"/>
    <xf numFmtId="180" fontId="20" fillId="7" borderId="61" xfId="0" applyNumberFormat="1" applyFont="1" applyFill="1" applyBorder="1"/>
    <xf numFmtId="178" fontId="18" fillId="7" borderId="61" xfId="26" applyNumberFormat="1" applyFont="1" applyFill="1" applyBorder="1" applyAlignment="1"/>
    <xf numFmtId="178" fontId="18" fillId="7" borderId="62" xfId="26" applyNumberFormat="1" applyFont="1" applyFill="1" applyBorder="1" applyAlignment="1"/>
    <xf numFmtId="178" fontId="18" fillId="7" borderId="187" xfId="26" applyNumberFormat="1" applyFont="1" applyFill="1" applyBorder="1" applyAlignment="1"/>
    <xf numFmtId="178" fontId="18" fillId="7" borderId="174" xfId="26" applyNumberFormat="1" applyFont="1" applyFill="1" applyBorder="1" applyAlignment="1"/>
    <xf numFmtId="179" fontId="18" fillId="7" borderId="191" xfId="0" applyNumberFormat="1" applyFont="1" applyFill="1" applyBorder="1"/>
    <xf numFmtId="179" fontId="18" fillId="7" borderId="190" xfId="0" applyNumberFormat="1" applyFont="1" applyFill="1" applyBorder="1"/>
    <xf numFmtId="178" fontId="18" fillId="7" borderId="5" xfId="26" applyNumberFormat="1" applyFont="1" applyFill="1" applyBorder="1" applyAlignment="1">
      <alignment wrapText="1"/>
    </xf>
    <xf numFmtId="178" fontId="18" fillId="7" borderId="20" xfId="26" applyNumberFormat="1" applyFont="1" applyFill="1" applyBorder="1" applyAlignment="1"/>
    <xf numFmtId="178" fontId="18" fillId="7" borderId="23" xfId="26" applyNumberFormat="1" applyFont="1" applyFill="1" applyBorder="1" applyAlignment="1"/>
    <xf numFmtId="180" fontId="20" fillId="7" borderId="20" xfId="0" applyNumberFormat="1" applyFont="1" applyFill="1" applyBorder="1"/>
    <xf numFmtId="178" fontId="18" fillId="7" borderId="206" xfId="26" applyNumberFormat="1" applyFont="1" applyFill="1" applyBorder="1" applyAlignment="1"/>
    <xf numFmtId="178" fontId="18" fillId="7" borderId="175" xfId="26" applyNumberFormat="1" applyFont="1" applyFill="1" applyBorder="1" applyAlignment="1"/>
    <xf numFmtId="179" fontId="18" fillId="7" borderId="192" xfId="0" applyNumberFormat="1" applyFont="1" applyFill="1" applyBorder="1"/>
    <xf numFmtId="179" fontId="18" fillId="7" borderId="96" xfId="0" applyNumberFormat="1" applyFont="1" applyFill="1" applyBorder="1"/>
    <xf numFmtId="180" fontId="20" fillId="7" borderId="177" xfId="0" applyNumberFormat="1" applyFont="1" applyFill="1" applyBorder="1"/>
    <xf numFmtId="178" fontId="18" fillId="7" borderId="178" xfId="26" applyNumberFormat="1" applyFont="1" applyFill="1" applyBorder="1" applyAlignment="1"/>
    <xf numFmtId="178" fontId="18" fillId="7" borderId="177" xfId="26" applyNumberFormat="1" applyFont="1" applyFill="1" applyBorder="1" applyAlignment="1"/>
    <xf numFmtId="178" fontId="18" fillId="7" borderId="215" xfId="26" applyNumberFormat="1" applyFont="1" applyFill="1" applyBorder="1" applyAlignment="1"/>
    <xf numFmtId="178" fontId="18" fillId="7" borderId="179" xfId="26" applyNumberFormat="1" applyFont="1" applyFill="1" applyBorder="1" applyAlignment="1"/>
    <xf numFmtId="179" fontId="18" fillId="7" borderId="193" xfId="0" applyNumberFormat="1" applyFont="1" applyFill="1" applyBorder="1"/>
    <xf numFmtId="179" fontId="18" fillId="7" borderId="194" xfId="0" applyNumberFormat="1" applyFont="1" applyFill="1" applyBorder="1"/>
    <xf numFmtId="178" fontId="18" fillId="7" borderId="142" xfId="26" applyNumberFormat="1" applyFont="1" applyFill="1" applyBorder="1" applyAlignment="1"/>
    <xf numFmtId="178" fontId="18" fillId="7" borderId="166" xfId="26" applyNumberFormat="1" applyFont="1" applyFill="1" applyBorder="1" applyAlignment="1"/>
    <xf numFmtId="179" fontId="18" fillId="7" borderId="161" xfId="0" applyNumberFormat="1" applyFont="1" applyFill="1" applyBorder="1"/>
    <xf numFmtId="179" fontId="18" fillId="7" borderId="51" xfId="0" applyNumberFormat="1" applyFont="1" applyFill="1" applyBorder="1"/>
    <xf numFmtId="180" fontId="9" fillId="7" borderId="20" xfId="0" applyNumberFormat="1" applyFont="1" applyFill="1" applyBorder="1" applyAlignment="1">
      <alignment horizontal="centerContinuous"/>
    </xf>
    <xf numFmtId="49" fontId="9" fillId="7" borderId="20" xfId="0" applyNumberFormat="1" applyFont="1" applyFill="1" applyBorder="1" applyAlignment="1">
      <alignment horizontal="center"/>
    </xf>
    <xf numFmtId="49" fontId="9" fillId="7" borderId="171" xfId="0" applyNumberFormat="1" applyFont="1" applyFill="1" applyBorder="1" applyAlignment="1">
      <alignment horizontal="center"/>
    </xf>
    <xf numFmtId="49" fontId="9" fillId="7" borderId="126" xfId="0" applyNumberFormat="1" applyFont="1" applyFill="1" applyBorder="1"/>
    <xf numFmtId="180" fontId="20" fillId="7" borderId="9" xfId="0" applyNumberFormat="1" applyFont="1" applyFill="1" applyBorder="1" applyAlignment="1">
      <alignment vertical="top" wrapText="1"/>
    </xf>
    <xf numFmtId="179" fontId="18" fillId="7" borderId="159" xfId="0" applyNumberFormat="1" applyFont="1" applyFill="1" applyBorder="1" applyAlignment="1">
      <alignment horizontal="right"/>
    </xf>
    <xf numFmtId="179" fontId="18" fillId="7" borderId="10" xfId="0" applyNumberFormat="1" applyFont="1" applyFill="1" applyBorder="1" applyAlignment="1">
      <alignment horizontal="right"/>
    </xf>
    <xf numFmtId="180" fontId="20" fillId="7" borderId="5" xfId="0" applyNumberFormat="1" applyFont="1" applyFill="1" applyBorder="1" applyAlignment="1">
      <alignment vertical="top" wrapText="1"/>
    </xf>
    <xf numFmtId="179" fontId="18" fillId="7" borderId="169" xfId="26" applyNumberFormat="1" applyFont="1" applyFill="1" applyBorder="1" applyAlignment="1"/>
    <xf numFmtId="179" fontId="18" fillId="7" borderId="172" xfId="0" applyNumberFormat="1" applyFont="1" applyFill="1" applyBorder="1" applyAlignment="1">
      <alignment horizontal="right"/>
    </xf>
    <xf numFmtId="179" fontId="18" fillId="7" borderId="116" xfId="0" applyNumberFormat="1" applyFont="1" applyFill="1" applyBorder="1" applyAlignment="1">
      <alignment horizontal="right"/>
    </xf>
    <xf numFmtId="178" fontId="18" fillId="7" borderId="0" xfId="26" applyNumberFormat="1" applyFont="1" applyFill="1" applyBorder="1" applyAlignment="1"/>
    <xf numFmtId="180" fontId="20" fillId="7" borderId="15" xfId="0" applyNumberFormat="1" applyFont="1" applyFill="1" applyBorder="1"/>
    <xf numFmtId="178" fontId="18" fillId="7" borderId="15" xfId="26" applyNumberFormat="1" applyFont="1" applyFill="1" applyBorder="1" applyAlignment="1"/>
    <xf numFmtId="180" fontId="25" fillId="7" borderId="7" xfId="0" applyNumberFormat="1" applyFont="1" applyFill="1" applyBorder="1"/>
    <xf numFmtId="180" fontId="20" fillId="7" borderId="15" xfId="26" applyNumberFormat="1" applyFont="1" applyFill="1" applyBorder="1" applyAlignment="1"/>
    <xf numFmtId="178" fontId="18" fillId="7" borderId="9" xfId="26" applyNumberFormat="1" applyFont="1" applyFill="1" applyBorder="1" applyAlignment="1">
      <alignment horizontal="right"/>
    </xf>
    <xf numFmtId="178" fontId="38" fillId="7" borderId="9" xfId="26" applyNumberFormat="1" applyFont="1" applyFill="1" applyBorder="1" applyAlignment="1"/>
    <xf numFmtId="178" fontId="38" fillId="7" borderId="6" xfId="26" applyNumberFormat="1" applyFont="1" applyFill="1" applyBorder="1" applyAlignment="1"/>
    <xf numFmtId="178" fontId="38" fillId="7" borderId="108" xfId="26" applyNumberFormat="1" applyFont="1" applyFill="1" applyBorder="1" applyAlignment="1"/>
    <xf numFmtId="177" fontId="23" fillId="7" borderId="0" xfId="18" applyNumberFormat="1" applyFont="1" applyFill="1" applyAlignment="1"/>
    <xf numFmtId="178" fontId="18" fillId="7" borderId="8" xfId="26" applyNumberFormat="1" applyFont="1" applyFill="1" applyBorder="1" applyAlignment="1"/>
    <xf numFmtId="178" fontId="18" fillId="7" borderId="145" xfId="26" applyNumberFormat="1" applyFont="1" applyFill="1" applyBorder="1" applyAlignment="1"/>
    <xf numFmtId="178" fontId="18" fillId="7" borderId="147" xfId="26" applyNumberFormat="1" applyFont="1" applyFill="1" applyBorder="1" applyAlignment="1"/>
    <xf numFmtId="179" fontId="18" fillId="7" borderId="158" xfId="0" applyNumberFormat="1" applyFont="1" applyFill="1" applyBorder="1"/>
    <xf numFmtId="179" fontId="18" fillId="7" borderId="12" xfId="0" applyNumberFormat="1" applyFont="1" applyFill="1" applyBorder="1"/>
    <xf numFmtId="180" fontId="20" fillId="7" borderId="6" xfId="0" applyNumberFormat="1" applyFont="1" applyFill="1" applyBorder="1"/>
    <xf numFmtId="183" fontId="18" fillId="7" borderId="16" xfId="26" applyNumberFormat="1" applyFont="1" applyFill="1" applyBorder="1" applyAlignment="1"/>
    <xf numFmtId="183" fontId="18" fillId="7" borderId="6" xfId="26" applyNumberFormat="1" applyFont="1" applyFill="1" applyBorder="1" applyAlignment="1"/>
    <xf numFmtId="183" fontId="18" fillId="7" borderId="15" xfId="26" applyNumberFormat="1" applyFont="1" applyFill="1" applyBorder="1" applyAlignment="1"/>
    <xf numFmtId="183" fontId="18" fillId="7" borderId="140" xfId="26" applyNumberFormat="1" applyFont="1" applyFill="1" applyBorder="1" applyAlignment="1"/>
    <xf numFmtId="183" fontId="18" fillId="7" borderId="167" xfId="26" applyNumberFormat="1" applyFont="1" applyFill="1" applyBorder="1" applyAlignment="1"/>
    <xf numFmtId="178" fontId="38" fillId="7" borderId="5" xfId="26" applyNumberFormat="1" applyFont="1" applyFill="1" applyBorder="1" applyAlignment="1"/>
    <xf numFmtId="178" fontId="38" fillId="7" borderId="3" xfId="26" applyNumberFormat="1" applyFont="1" applyFill="1" applyBorder="1" applyAlignment="1"/>
    <xf numFmtId="178" fontId="38" fillId="7" borderId="2" xfId="26" applyNumberFormat="1" applyFont="1" applyFill="1" applyBorder="1" applyAlignment="1"/>
    <xf numFmtId="180" fontId="20" fillId="7" borderId="7" xfId="26" applyNumberFormat="1" applyFont="1" applyFill="1" applyBorder="1" applyAlignment="1"/>
    <xf numFmtId="180" fontId="20" fillId="7" borderId="53" xfId="26" applyNumberFormat="1" applyFont="1" applyFill="1" applyBorder="1" applyAlignment="1"/>
    <xf numFmtId="180" fontId="20" fillId="7" borderId="2" xfId="0" applyNumberFormat="1" applyFont="1" applyFill="1" applyBorder="1"/>
    <xf numFmtId="180" fontId="20" fillId="7" borderId="2" xfId="26" applyNumberFormat="1" applyFont="1" applyFill="1" applyBorder="1" applyAlignment="1"/>
    <xf numFmtId="178" fontId="18" fillId="7" borderId="3" xfId="26" applyNumberFormat="1" applyFont="1" applyFill="1" applyBorder="1" applyAlignment="1"/>
    <xf numFmtId="178" fontId="18" fillId="7" borderId="2" xfId="26" applyNumberFormat="1" applyFont="1" applyFill="1" applyBorder="1" applyAlignment="1"/>
    <xf numFmtId="180" fontId="20" fillId="7" borderId="8" xfId="0" applyNumberFormat="1" applyFont="1" applyFill="1" applyBorder="1"/>
    <xf numFmtId="178" fontId="18" fillId="7" borderId="6" xfId="26" applyNumberFormat="1" applyFont="1" applyFill="1" applyBorder="1" applyAlignment="1"/>
    <xf numFmtId="180" fontId="20" fillId="7" borderId="8" xfId="26" applyNumberFormat="1" applyFont="1" applyFill="1" applyBorder="1" applyAlignment="1"/>
    <xf numFmtId="178" fontId="18" fillId="7" borderId="22" xfId="26" applyNumberFormat="1" applyFont="1" applyFill="1" applyBorder="1" applyAlignment="1"/>
    <xf numFmtId="178" fontId="18" fillId="7" borderId="54" xfId="26" applyNumberFormat="1" applyFont="1" applyFill="1" applyBorder="1" applyAlignment="1"/>
    <xf numFmtId="178" fontId="38" fillId="7" borderId="15" xfId="26" applyNumberFormat="1" applyFont="1" applyFill="1" applyBorder="1" applyAlignment="1"/>
    <xf numFmtId="178" fontId="38" fillId="7" borderId="7" xfId="26" applyNumberFormat="1" applyFont="1" applyFill="1" applyBorder="1" applyAlignment="1"/>
    <xf numFmtId="178" fontId="38" fillId="7" borderId="8" xfId="26" applyNumberFormat="1" applyFont="1" applyFill="1" applyBorder="1" applyAlignment="1"/>
    <xf numFmtId="178" fontId="38" fillId="7" borderId="0" xfId="26" applyNumberFormat="1" applyFont="1" applyFill="1" applyBorder="1" applyAlignment="1"/>
    <xf numFmtId="183" fontId="18" fillId="7" borderId="9" xfId="26" applyNumberFormat="1" applyFont="1" applyFill="1" applyBorder="1" applyAlignment="1"/>
    <xf numFmtId="180" fontId="20" fillId="7" borderId="5" xfId="26" applyNumberFormat="1" applyFont="1" applyFill="1" applyBorder="1" applyAlignment="1"/>
    <xf numFmtId="180" fontId="20" fillId="7" borderId="2" xfId="0" applyNumberFormat="1" applyFont="1" applyFill="1" applyBorder="1" applyAlignment="1">
      <alignment horizontal="centerContinuous"/>
    </xf>
    <xf numFmtId="180" fontId="25" fillId="7" borderId="53" xfId="0" applyNumberFormat="1" applyFont="1" applyFill="1" applyBorder="1"/>
    <xf numFmtId="180" fontId="20" fillId="7" borderId="54" xfId="0" applyNumberFormat="1" applyFont="1" applyFill="1" applyBorder="1"/>
    <xf numFmtId="177" fontId="23" fillId="7" borderId="0" xfId="18" applyNumberFormat="1" applyFont="1" applyFill="1" applyBorder="1" applyAlignment="1"/>
    <xf numFmtId="180" fontId="20" fillId="7" borderId="15" xfId="0" applyNumberFormat="1" applyFont="1" applyFill="1" applyBorder="1" applyAlignment="1">
      <alignment horizontal="centerContinuous"/>
    </xf>
    <xf numFmtId="180" fontId="28" fillId="7" borderId="0" xfId="0" applyNumberFormat="1" applyFont="1" applyFill="1"/>
    <xf numFmtId="180" fontId="19" fillId="7" borderId="0" xfId="0" applyNumberFormat="1" applyFont="1" applyFill="1" applyAlignment="1">
      <alignment horizontal="left"/>
    </xf>
    <xf numFmtId="38" fontId="23" fillId="7" borderId="0" xfId="26" applyFont="1" applyFill="1" applyAlignment="1"/>
    <xf numFmtId="38" fontId="23" fillId="7" borderId="0" xfId="26" applyFont="1" applyFill="1" applyBorder="1" applyAlignment="1"/>
    <xf numFmtId="0" fontId="23" fillId="7" borderId="0" xfId="0" applyFont="1" applyFill="1"/>
    <xf numFmtId="0" fontId="28" fillId="7" borderId="0" xfId="0" applyFont="1" applyFill="1"/>
    <xf numFmtId="0" fontId="19" fillId="7" borderId="0" xfId="0" applyFont="1" applyFill="1" applyAlignment="1">
      <alignment horizontal="right" vertical="top"/>
    </xf>
    <xf numFmtId="0" fontId="20" fillId="7" borderId="52" xfId="0" applyFont="1" applyFill="1" applyBorder="1" applyAlignment="1">
      <alignment horizontal="center"/>
    </xf>
    <xf numFmtId="0" fontId="20" fillId="7" borderId="64" xfId="0" applyFont="1" applyFill="1" applyBorder="1" applyAlignment="1">
      <alignment horizontal="center"/>
    </xf>
    <xf numFmtId="0" fontId="20" fillId="7" borderId="0" xfId="26" applyNumberFormat="1" applyFont="1" applyFill="1" applyBorder="1" applyAlignment="1">
      <alignment horizontal="center"/>
    </xf>
    <xf numFmtId="0" fontId="19" fillId="7" borderId="0" xfId="0" applyFont="1" applyFill="1" applyAlignment="1">
      <alignment vertical="center"/>
    </xf>
    <xf numFmtId="0" fontId="20" fillId="7" borderId="7" xfId="0" applyFont="1" applyFill="1" applyBorder="1" applyAlignment="1">
      <alignment vertical="center"/>
    </xf>
    <xf numFmtId="178" fontId="20" fillId="7" borderId="0" xfId="26" applyNumberFormat="1" applyFont="1" applyFill="1" applyBorder="1" applyAlignment="1">
      <alignment vertical="center"/>
    </xf>
    <xf numFmtId="178" fontId="20" fillId="7" borderId="46" xfId="26" applyNumberFormat="1" applyFont="1" applyFill="1" applyBorder="1" applyAlignment="1">
      <alignment vertical="center"/>
    </xf>
    <xf numFmtId="0" fontId="20" fillId="7" borderId="0" xfId="0" applyFont="1" applyFill="1" applyAlignment="1">
      <alignment vertical="center" shrinkToFit="1"/>
    </xf>
    <xf numFmtId="0" fontId="0" fillId="7" borderId="45" xfId="0" applyFill="1" applyBorder="1" applyAlignment="1">
      <alignment vertical="center" shrinkToFit="1"/>
    </xf>
    <xf numFmtId="178" fontId="20" fillId="7" borderId="8" xfId="0" applyNumberFormat="1" applyFont="1" applyFill="1" applyBorder="1" applyAlignment="1">
      <alignment vertical="center"/>
    </xf>
    <xf numFmtId="178" fontId="20" fillId="7" borderId="8" xfId="26" applyNumberFormat="1" applyFont="1" applyFill="1" applyBorder="1" applyAlignment="1">
      <alignment vertical="center"/>
    </xf>
    <xf numFmtId="178" fontId="20" fillId="7" borderId="7" xfId="26" applyNumberFormat="1" applyFont="1" applyFill="1" applyBorder="1" applyAlignment="1">
      <alignment vertical="center"/>
    </xf>
    <xf numFmtId="0" fontId="20" fillId="7" borderId="97" xfId="0" applyFont="1" applyFill="1" applyBorder="1" applyAlignment="1">
      <alignment vertical="center" shrinkToFit="1"/>
    </xf>
    <xf numFmtId="178" fontId="18" fillId="7" borderId="0" xfId="26" applyNumberFormat="1" applyFont="1" applyFill="1" applyBorder="1" applyAlignment="1">
      <alignment vertical="center"/>
    </xf>
    <xf numFmtId="195" fontId="18" fillId="7" borderId="36" xfId="26" applyNumberFormat="1" applyFont="1" applyFill="1" applyBorder="1" applyAlignment="1">
      <alignment horizontal="right"/>
    </xf>
    <xf numFmtId="195" fontId="18" fillId="7" borderId="58" xfId="26" applyNumberFormat="1" applyFont="1" applyFill="1" applyBorder="1" applyAlignment="1">
      <alignment horizontal="right"/>
    </xf>
    <xf numFmtId="195" fontId="18" fillId="7" borderId="67" xfId="26" applyNumberFormat="1" applyFont="1" applyFill="1" applyBorder="1" applyAlignment="1">
      <alignment horizontal="right"/>
    </xf>
    <xf numFmtId="178" fontId="18" fillId="7" borderId="0" xfId="26" applyNumberFormat="1" applyFont="1" applyFill="1" applyBorder="1" applyAlignment="1">
      <alignment horizontal="right" vertical="center"/>
    </xf>
    <xf numFmtId="195" fontId="18" fillId="7" borderId="81" xfId="26" applyNumberFormat="1" applyFont="1" applyFill="1" applyBorder="1" applyAlignment="1">
      <alignment horizontal="right"/>
    </xf>
    <xf numFmtId="195" fontId="18" fillId="7" borderId="82" xfId="26" applyNumberFormat="1" applyFont="1" applyFill="1" applyBorder="1" applyAlignment="1">
      <alignment horizontal="right"/>
    </xf>
    <xf numFmtId="195" fontId="18" fillId="7" borderId="83" xfId="26" applyNumberFormat="1" applyFont="1" applyFill="1" applyBorder="1" applyAlignment="1">
      <alignment horizontal="right"/>
    </xf>
    <xf numFmtId="0" fontId="20" fillId="7" borderId="71" xfId="0" applyFont="1" applyFill="1" applyBorder="1" applyAlignment="1">
      <alignment vertical="center" shrinkToFit="1"/>
    </xf>
    <xf numFmtId="195" fontId="18" fillId="7" borderId="38" xfId="26" applyNumberFormat="1" applyFont="1" applyFill="1" applyBorder="1" applyAlignment="1">
      <alignment horizontal="right"/>
    </xf>
    <xf numFmtId="195" fontId="18" fillId="7" borderId="84" xfId="26" applyNumberFormat="1" applyFont="1" applyFill="1" applyBorder="1" applyAlignment="1">
      <alignment horizontal="right"/>
    </xf>
    <xf numFmtId="0" fontId="20" fillId="7" borderId="100" xfId="0" applyFont="1" applyFill="1" applyBorder="1" applyAlignment="1">
      <alignment vertical="center" shrinkToFit="1"/>
    </xf>
    <xf numFmtId="195" fontId="18" fillId="7" borderId="85" xfId="26" applyNumberFormat="1" applyFont="1" applyFill="1" applyBorder="1" applyAlignment="1">
      <alignment horizontal="right"/>
    </xf>
    <xf numFmtId="195" fontId="18" fillId="7" borderId="61" xfId="26" applyNumberFormat="1" applyFont="1" applyFill="1" applyBorder="1" applyAlignment="1">
      <alignment horizontal="right"/>
    </xf>
    <xf numFmtId="195" fontId="18" fillId="7" borderId="70" xfId="26" applyNumberFormat="1" applyFont="1" applyFill="1" applyBorder="1" applyAlignment="1">
      <alignment horizontal="right"/>
    </xf>
    <xf numFmtId="0" fontId="20" fillId="7" borderId="101" xfId="0" applyFont="1" applyFill="1" applyBorder="1" applyAlignment="1">
      <alignment vertical="center" shrinkToFit="1"/>
    </xf>
    <xf numFmtId="195" fontId="18" fillId="7" borderId="86" xfId="26" applyNumberFormat="1" applyFont="1" applyFill="1" applyBorder="1" applyAlignment="1">
      <alignment horizontal="right"/>
    </xf>
    <xf numFmtId="195" fontId="18" fillId="7" borderId="57" xfId="26" applyNumberFormat="1" applyFont="1" applyFill="1" applyBorder="1" applyAlignment="1">
      <alignment horizontal="right"/>
    </xf>
    <xf numFmtId="195" fontId="18" fillId="7" borderId="74" xfId="26" applyNumberFormat="1" applyFont="1" applyFill="1" applyBorder="1" applyAlignment="1">
      <alignment horizontal="right"/>
    </xf>
    <xf numFmtId="195" fontId="18" fillId="7" borderId="8" xfId="26" applyNumberFormat="1" applyFont="1" applyFill="1" applyBorder="1" applyAlignment="1">
      <alignment horizontal="right"/>
    </xf>
    <xf numFmtId="195" fontId="18" fillId="7" borderId="7" xfId="26" applyNumberFormat="1" applyFont="1" applyFill="1" applyBorder="1" applyAlignment="1">
      <alignment horizontal="right"/>
    </xf>
    <xf numFmtId="195" fontId="18" fillId="7" borderId="46" xfId="26" applyNumberFormat="1" applyFont="1" applyFill="1" applyBorder="1" applyAlignment="1">
      <alignment horizontal="right"/>
    </xf>
    <xf numFmtId="0" fontId="20" fillId="7" borderId="56" xfId="0" applyFont="1" applyFill="1" applyBorder="1" applyAlignment="1">
      <alignment vertical="center"/>
    </xf>
    <xf numFmtId="0" fontId="25" fillId="7" borderId="3" xfId="0" applyFont="1" applyFill="1" applyBorder="1" applyAlignment="1">
      <alignment vertical="center" shrinkToFit="1"/>
    </xf>
    <xf numFmtId="195" fontId="18" fillId="7" borderId="3" xfId="26" applyNumberFormat="1" applyFont="1" applyFill="1" applyBorder="1" applyAlignment="1">
      <alignment horizontal="right"/>
    </xf>
    <xf numFmtId="195" fontId="18" fillId="7" borderId="5" xfId="26" applyNumberFormat="1" applyFont="1" applyFill="1" applyBorder="1" applyAlignment="1">
      <alignment horizontal="right"/>
    </xf>
    <xf numFmtId="195" fontId="18" fillId="7" borderId="107" xfId="26" applyNumberFormat="1" applyFont="1" applyFill="1" applyBorder="1" applyAlignment="1">
      <alignment horizontal="right"/>
    </xf>
    <xf numFmtId="178" fontId="18" fillId="7" borderId="107" xfId="26" applyNumberFormat="1" applyFont="1" applyFill="1" applyBorder="1" applyAlignment="1"/>
    <xf numFmtId="0" fontId="20" fillId="7" borderId="17" xfId="0" applyFont="1" applyFill="1" applyBorder="1" applyAlignment="1">
      <alignment vertical="center" shrinkToFit="1"/>
    </xf>
    <xf numFmtId="195" fontId="18" fillId="7" borderId="98" xfId="26" applyNumberFormat="1" applyFont="1" applyFill="1" applyBorder="1" applyAlignment="1">
      <alignment horizontal="right"/>
    </xf>
    <xf numFmtId="0" fontId="20" fillId="7" borderId="134" xfId="0" applyFont="1" applyFill="1" applyBorder="1" applyAlignment="1">
      <alignment vertical="center"/>
    </xf>
    <xf numFmtId="195" fontId="18" fillId="7" borderId="0" xfId="26" applyNumberFormat="1" applyFont="1" applyFill="1" applyBorder="1" applyAlignment="1">
      <alignment horizontal="right"/>
    </xf>
    <xf numFmtId="38" fontId="7" fillId="7" borderId="0" xfId="26" applyFill="1" applyAlignment="1">
      <alignment vertical="center"/>
    </xf>
    <xf numFmtId="0" fontId="20" fillId="7" borderId="104" xfId="0" applyFont="1" applyFill="1" applyBorder="1" applyAlignment="1">
      <alignment vertical="center"/>
    </xf>
    <xf numFmtId="0" fontId="20" fillId="7" borderId="105" xfId="0" applyFont="1" applyFill="1" applyBorder="1" applyAlignment="1">
      <alignment vertical="center" shrinkToFit="1"/>
    </xf>
    <xf numFmtId="0" fontId="25" fillId="7" borderId="136" xfId="0" applyFont="1" applyFill="1" applyBorder="1" applyAlignment="1">
      <alignment vertical="center"/>
    </xf>
    <xf numFmtId="195" fontId="18" fillId="7" borderId="130" xfId="26" applyNumberFormat="1" applyFont="1" applyFill="1" applyBorder="1" applyAlignment="1">
      <alignment horizontal="right"/>
    </xf>
    <xf numFmtId="195" fontId="18" fillId="7" borderId="87" xfId="26" applyNumberFormat="1" applyFont="1" applyFill="1" applyBorder="1" applyAlignment="1">
      <alignment horizontal="right"/>
    </xf>
    <xf numFmtId="0" fontId="20" fillId="7" borderId="0" xfId="0" applyFont="1" applyFill="1" applyAlignment="1">
      <alignment horizontal="left" vertical="center"/>
    </xf>
    <xf numFmtId="0" fontId="20" fillId="7" borderId="127" xfId="0" applyFont="1" applyFill="1" applyBorder="1" applyAlignment="1">
      <alignment vertical="center"/>
    </xf>
    <xf numFmtId="0" fontId="20" fillId="7" borderId="127" xfId="0" applyFont="1" applyFill="1" applyBorder="1" applyAlignment="1">
      <alignment vertical="center" shrinkToFit="1"/>
    </xf>
    <xf numFmtId="0" fontId="20" fillId="7" borderId="17" xfId="0" applyFont="1" applyFill="1" applyBorder="1" applyAlignment="1">
      <alignment vertical="center"/>
    </xf>
    <xf numFmtId="0" fontId="19" fillId="7" borderId="135" xfId="0" applyFont="1" applyFill="1" applyBorder="1" applyAlignment="1">
      <alignment vertical="center"/>
    </xf>
    <xf numFmtId="0" fontId="20" fillId="7" borderId="5" xfId="0" applyFont="1" applyFill="1" applyBorder="1" applyAlignment="1">
      <alignment vertical="center"/>
    </xf>
    <xf numFmtId="0" fontId="20" fillId="7" borderId="76" xfId="0" applyFont="1" applyFill="1" applyBorder="1" applyAlignment="1">
      <alignment vertical="center"/>
    </xf>
    <xf numFmtId="0" fontId="20" fillId="7" borderId="128" xfId="0" applyFont="1" applyFill="1" applyBorder="1" applyAlignment="1">
      <alignment horizontal="left" vertical="center"/>
    </xf>
    <xf numFmtId="0" fontId="20" fillId="7" borderId="132" xfId="0" applyFont="1" applyFill="1" applyBorder="1" applyAlignment="1">
      <alignment horizontal="left" vertical="center" shrinkToFit="1"/>
    </xf>
    <xf numFmtId="0" fontId="20" fillId="7" borderId="2" xfId="0" applyFont="1" applyFill="1" applyBorder="1" applyAlignment="1">
      <alignment horizontal="left" vertical="center"/>
    </xf>
    <xf numFmtId="0" fontId="20" fillId="7" borderId="111" xfId="0" applyFont="1" applyFill="1" applyBorder="1" applyAlignment="1">
      <alignment horizontal="left" vertical="center" shrinkToFit="1"/>
    </xf>
    <xf numFmtId="195" fontId="18" fillId="7" borderId="54" xfId="26" applyNumberFormat="1" applyFont="1" applyFill="1" applyBorder="1" applyAlignment="1">
      <alignment horizontal="right"/>
    </xf>
    <xf numFmtId="0" fontId="20" fillId="7" borderId="9" xfId="0" applyFont="1" applyFill="1" applyBorder="1" applyAlignment="1">
      <alignment vertical="center"/>
    </xf>
    <xf numFmtId="0" fontId="20" fillId="7" borderId="15" xfId="0" applyFont="1" applyFill="1" applyBorder="1" applyAlignment="1">
      <alignment horizontal="left" vertical="center"/>
    </xf>
    <xf numFmtId="0" fontId="20" fillId="7" borderId="56" xfId="0" applyFont="1" applyFill="1" applyBorder="1" applyAlignment="1">
      <alignment horizontal="left" vertical="center" shrinkToFit="1"/>
    </xf>
    <xf numFmtId="195" fontId="18" fillId="7" borderId="2" xfId="26" applyNumberFormat="1" applyFont="1" applyFill="1" applyBorder="1" applyAlignment="1">
      <alignment horizontal="right"/>
    </xf>
    <xf numFmtId="195" fontId="18" fillId="7" borderId="131" xfId="26" applyNumberFormat="1" applyFont="1" applyFill="1" applyBorder="1" applyAlignment="1">
      <alignment horizontal="right"/>
    </xf>
    <xf numFmtId="0" fontId="0" fillId="7" borderId="54" xfId="0" applyFill="1" applyBorder="1"/>
    <xf numFmtId="38" fontId="7" fillId="7" borderId="0" xfId="26" applyFont="1" applyFill="1" applyAlignment="1">
      <alignment vertical="center"/>
    </xf>
    <xf numFmtId="0" fontId="77" fillId="7" borderId="0" xfId="293" applyFill="1">
      <alignment vertical="center"/>
    </xf>
    <xf numFmtId="0" fontId="55" fillId="7" borderId="0" xfId="0" applyFont="1" applyFill="1" applyAlignment="1">
      <alignment vertical="center"/>
    </xf>
    <xf numFmtId="38" fontId="23" fillId="7" borderId="0" xfId="26" applyFont="1" applyFill="1"/>
    <xf numFmtId="0" fontId="19" fillId="7" borderId="3" xfId="0" applyFont="1" applyFill="1" applyBorder="1" applyAlignment="1">
      <alignment shrinkToFit="1"/>
    </xf>
    <xf numFmtId="0" fontId="19" fillId="7" borderId="3" xfId="0" applyFont="1" applyFill="1" applyBorder="1"/>
    <xf numFmtId="0" fontId="19" fillId="7" borderId="3" xfId="0" applyFont="1" applyFill="1" applyBorder="1" applyAlignment="1">
      <alignment vertical="center" shrinkToFit="1"/>
    </xf>
    <xf numFmtId="38" fontId="19" fillId="7" borderId="3" xfId="26" applyFont="1" applyFill="1" applyBorder="1" applyAlignment="1">
      <alignment vertical="center" shrinkToFit="1"/>
    </xf>
    <xf numFmtId="38" fontId="0" fillId="7" borderId="0" xfId="0" applyNumberFormat="1" applyFill="1" applyAlignment="1">
      <alignment vertical="center"/>
    </xf>
    <xf numFmtId="178" fontId="20" fillId="7" borderId="0" xfId="26" applyNumberFormat="1" applyFont="1" applyFill="1" applyBorder="1" applyAlignment="1">
      <alignment horizontal="right" vertical="center"/>
    </xf>
    <xf numFmtId="0" fontId="18" fillId="7" borderId="0" xfId="0" applyFont="1" applyFill="1" applyAlignment="1">
      <alignment vertical="center"/>
    </xf>
    <xf numFmtId="0" fontId="20" fillId="7" borderId="0" xfId="60" applyFont="1" applyFill="1" applyAlignment="1">
      <alignment vertical="center"/>
    </xf>
    <xf numFmtId="184" fontId="18" fillId="7" borderId="3" xfId="26" applyNumberFormat="1" applyFont="1" applyFill="1" applyBorder="1" applyAlignment="1">
      <alignment shrinkToFit="1"/>
    </xf>
    <xf numFmtId="38" fontId="23" fillId="7" borderId="3" xfId="26" applyFont="1" applyFill="1" applyBorder="1" applyAlignment="1">
      <alignment shrinkToFit="1"/>
    </xf>
    <xf numFmtId="38" fontId="19" fillId="7" borderId="3" xfId="26" applyFont="1" applyFill="1" applyBorder="1" applyAlignment="1">
      <alignment vertical="top"/>
    </xf>
    <xf numFmtId="0" fontId="20" fillId="7" borderId="3" xfId="60" applyFont="1" applyFill="1" applyBorder="1" applyAlignment="1">
      <alignment vertical="center" shrinkToFit="1"/>
    </xf>
    <xf numFmtId="38" fontId="23" fillId="7" borderId="3" xfId="26" applyFont="1" applyFill="1" applyBorder="1" applyAlignment="1"/>
    <xf numFmtId="0" fontId="0" fillId="7" borderId="3" xfId="0" applyFill="1" applyBorder="1" applyAlignment="1">
      <alignment vertical="center" shrinkToFit="1"/>
    </xf>
    <xf numFmtId="38" fontId="35" fillId="7" borderId="3" xfId="26" applyFont="1" applyFill="1" applyBorder="1" applyAlignment="1">
      <alignment vertical="center" shrinkToFit="1"/>
    </xf>
    <xf numFmtId="38" fontId="35" fillId="7" borderId="3" xfId="26" applyFont="1" applyFill="1" applyBorder="1" applyAlignment="1">
      <alignment vertical="center"/>
    </xf>
    <xf numFmtId="38" fontId="35" fillId="7" borderId="0" xfId="26" applyFont="1" applyFill="1" applyAlignment="1">
      <alignment vertical="center" shrinkToFit="1"/>
    </xf>
    <xf numFmtId="0" fontId="35" fillId="7" borderId="0" xfId="0" applyFont="1" applyFill="1" applyAlignment="1">
      <alignment vertical="center"/>
    </xf>
    <xf numFmtId="3" fontId="35" fillId="7" borderId="0" xfId="0" applyNumberFormat="1" applyFont="1" applyFill="1" applyAlignment="1">
      <alignment vertical="center"/>
    </xf>
    <xf numFmtId="38" fontId="35" fillId="7" borderId="0" xfId="26" applyFont="1" applyFill="1" applyAlignment="1">
      <alignment vertical="center"/>
    </xf>
    <xf numFmtId="180" fontId="23" fillId="7" borderId="0" xfId="0" applyNumberFormat="1" applyFont="1" applyFill="1" applyAlignment="1">
      <alignment vertical="center"/>
    </xf>
    <xf numFmtId="178" fontId="137" fillId="7" borderId="258" xfId="26" applyNumberFormat="1" applyFont="1" applyFill="1" applyBorder="1" applyAlignment="1">
      <alignment vertical="center"/>
    </xf>
    <xf numFmtId="179" fontId="137" fillId="7" borderId="258" xfId="0" applyNumberFormat="1" applyFont="1" applyFill="1" applyBorder="1" applyAlignment="1">
      <alignment vertical="center"/>
    </xf>
    <xf numFmtId="180" fontId="137" fillId="66" borderId="0" xfId="0" applyNumberFormat="1" applyFont="1" applyFill="1" applyAlignment="1">
      <alignment vertical="center"/>
    </xf>
    <xf numFmtId="180" fontId="137" fillId="7" borderId="0" xfId="0" applyNumberFormat="1" applyFont="1" applyFill="1" applyAlignment="1">
      <alignment vertical="center"/>
    </xf>
    <xf numFmtId="178" fontId="133" fillId="7" borderId="0" xfId="26" applyNumberFormat="1" applyFont="1" applyFill="1" applyBorder="1" applyAlignment="1">
      <alignment vertical="center"/>
    </xf>
    <xf numFmtId="180" fontId="135" fillId="66" borderId="0" xfId="0" applyNumberFormat="1" applyFont="1" applyFill="1" applyAlignment="1">
      <alignment vertical="center"/>
    </xf>
    <xf numFmtId="180" fontId="135" fillId="66" borderId="0" xfId="26" applyNumberFormat="1" applyFont="1" applyFill="1" applyBorder="1" applyAlignment="1">
      <alignment vertical="center" shrinkToFit="1"/>
    </xf>
    <xf numFmtId="180" fontId="135" fillId="7" borderId="0" xfId="26" applyNumberFormat="1" applyFont="1" applyFill="1" applyBorder="1" applyAlignment="1">
      <alignment vertical="center"/>
    </xf>
    <xf numFmtId="180" fontId="135" fillId="7" borderId="0" xfId="0" applyNumberFormat="1" applyFont="1" applyFill="1" applyAlignment="1">
      <alignment vertical="center"/>
    </xf>
    <xf numFmtId="180" fontId="135" fillId="7" borderId="0" xfId="26" applyNumberFormat="1" applyFont="1" applyFill="1" applyBorder="1" applyAlignment="1">
      <alignment vertical="center" shrinkToFit="1"/>
    </xf>
    <xf numFmtId="180" fontId="141" fillId="7" borderId="258" xfId="0" applyNumberFormat="1" applyFont="1" applyFill="1" applyBorder="1" applyAlignment="1">
      <alignment vertical="center"/>
    </xf>
    <xf numFmtId="180" fontId="137" fillId="7" borderId="258" xfId="26" applyNumberFormat="1" applyFont="1" applyFill="1" applyBorder="1" applyAlignment="1">
      <alignment vertical="center"/>
    </xf>
    <xf numFmtId="180" fontId="137" fillId="7" borderId="258" xfId="0" applyNumberFormat="1" applyFont="1" applyFill="1" applyBorder="1" applyAlignment="1">
      <alignment vertical="center"/>
    </xf>
    <xf numFmtId="179" fontId="133" fillId="7" borderId="0" xfId="0" applyNumberFormat="1" applyFont="1" applyFill="1" applyAlignment="1">
      <alignment horizontal="right" vertical="center"/>
    </xf>
    <xf numFmtId="180" fontId="137" fillId="7" borderId="15" xfId="0" applyNumberFormat="1" applyFont="1" applyFill="1" applyBorder="1" applyAlignment="1">
      <alignment vertical="center"/>
    </xf>
    <xf numFmtId="178" fontId="133" fillId="7" borderId="0" xfId="26" applyNumberFormat="1" applyFont="1" applyFill="1" applyBorder="1" applyAlignment="1">
      <alignment horizontal="right" vertical="center"/>
    </xf>
    <xf numFmtId="49" fontId="9" fillId="7" borderId="86" xfId="0" applyNumberFormat="1" applyFont="1" applyFill="1" applyBorder="1" applyAlignment="1">
      <alignment horizontal="center" vertical="center"/>
    </xf>
    <xf numFmtId="49" fontId="9" fillId="7" borderId="86" xfId="0" applyNumberFormat="1" applyFont="1" applyFill="1" applyBorder="1" applyAlignment="1">
      <alignment vertical="center"/>
    </xf>
    <xf numFmtId="180" fontId="9" fillId="7" borderId="82" xfId="26" applyNumberFormat="1" applyFont="1" applyFill="1" applyBorder="1" applyAlignment="1">
      <alignment horizontal="center"/>
    </xf>
    <xf numFmtId="180" fontId="9" fillId="7" borderId="30" xfId="0" applyNumberFormat="1" applyFont="1" applyFill="1" applyBorder="1" applyAlignment="1">
      <alignment horizontal="center"/>
    </xf>
    <xf numFmtId="194" fontId="115" fillId="7" borderId="0" xfId="0" applyNumberFormat="1" applyFont="1" applyFill="1"/>
    <xf numFmtId="0" fontId="9" fillId="7" borderId="112" xfId="0" applyFont="1" applyFill="1" applyBorder="1"/>
    <xf numFmtId="0" fontId="9" fillId="7" borderId="182" xfId="0" applyFont="1" applyFill="1" applyBorder="1" applyAlignment="1">
      <alignment vertical="center"/>
    </xf>
    <xf numFmtId="180" fontId="9" fillId="7" borderId="112" xfId="26" applyNumberFormat="1" applyFont="1" applyFill="1" applyBorder="1" applyAlignment="1">
      <alignment horizontal="center"/>
    </xf>
    <xf numFmtId="180" fontId="9" fillId="7" borderId="182" xfId="0" applyNumberFormat="1" applyFont="1" applyFill="1" applyBorder="1" applyAlignment="1">
      <alignment horizontal="center"/>
    </xf>
    <xf numFmtId="180" fontId="23" fillId="7" borderId="58" xfId="0" applyNumberFormat="1" applyFont="1" applyFill="1" applyBorder="1"/>
    <xf numFmtId="180" fontId="23" fillId="7" borderId="103" xfId="0" applyNumberFormat="1" applyFont="1" applyFill="1" applyBorder="1"/>
    <xf numFmtId="180" fontId="18" fillId="7" borderId="36" xfId="26" applyNumberFormat="1" applyFont="1" applyFill="1" applyBorder="1" applyAlignment="1"/>
    <xf numFmtId="180" fontId="18" fillId="7" borderId="68" xfId="0" applyNumberFormat="1" applyFont="1" applyFill="1" applyBorder="1"/>
    <xf numFmtId="180" fontId="18" fillId="7" borderId="13" xfId="0" applyNumberFormat="1" applyFont="1" applyFill="1" applyBorder="1"/>
    <xf numFmtId="179" fontId="18" fillId="7" borderId="103" xfId="0" applyNumberFormat="1" applyFont="1" applyFill="1" applyBorder="1"/>
    <xf numFmtId="180" fontId="116" fillId="7" borderId="0" xfId="0" applyNumberFormat="1" applyFont="1" applyFill="1"/>
    <xf numFmtId="194" fontId="23" fillId="7" borderId="0" xfId="0" applyNumberFormat="1" applyFont="1" applyFill="1"/>
    <xf numFmtId="38" fontId="18" fillId="7" borderId="36" xfId="26" applyFont="1" applyFill="1" applyBorder="1"/>
    <xf numFmtId="180" fontId="18" fillId="7" borderId="58" xfId="26" applyNumberFormat="1" applyFont="1" applyFill="1" applyBorder="1" applyAlignment="1"/>
    <xf numFmtId="180" fontId="18" fillId="7" borderId="8" xfId="26" applyNumberFormat="1" applyFont="1" applyFill="1" applyBorder="1" applyAlignment="1"/>
    <xf numFmtId="180" fontId="18" fillId="7" borderId="98" xfId="26" applyNumberFormat="1" applyFont="1" applyFill="1" applyBorder="1" applyAlignment="1"/>
    <xf numFmtId="179" fontId="18" fillId="7" borderId="17" xfId="0" applyNumberFormat="1" applyFont="1" applyFill="1" applyBorder="1"/>
    <xf numFmtId="180" fontId="23" fillId="7" borderId="59" xfId="0" applyNumberFormat="1" applyFont="1" applyFill="1" applyBorder="1"/>
    <xf numFmtId="180" fontId="23" fillId="7" borderId="124" xfId="0" applyNumberFormat="1" applyFont="1" applyFill="1" applyBorder="1"/>
    <xf numFmtId="180" fontId="18" fillId="7" borderId="38" xfId="26" applyNumberFormat="1" applyFont="1" applyFill="1" applyBorder="1" applyAlignment="1"/>
    <xf numFmtId="180" fontId="18" fillId="7" borderId="72" xfId="0" applyNumberFormat="1" applyFont="1" applyFill="1" applyBorder="1"/>
    <xf numFmtId="180" fontId="18" fillId="7" borderId="80" xfId="0" applyNumberFormat="1" applyFont="1" applyFill="1" applyBorder="1"/>
    <xf numFmtId="0" fontId="19" fillId="7" borderId="61" xfId="0" applyFont="1" applyFill="1" applyBorder="1" applyAlignment="1">
      <alignment horizontal="left"/>
    </xf>
    <xf numFmtId="180" fontId="23" fillId="7" borderId="185" xfId="0" applyNumberFormat="1" applyFont="1" applyFill="1" applyBorder="1"/>
    <xf numFmtId="180" fontId="18" fillId="7" borderId="61" xfId="26" applyNumberFormat="1" applyFont="1" applyFill="1" applyBorder="1" applyAlignment="1"/>
    <xf numFmtId="180" fontId="18" fillId="7" borderId="69" xfId="26" applyNumberFormat="1" applyFont="1" applyFill="1" applyBorder="1" applyAlignment="1"/>
    <xf numFmtId="180" fontId="18" fillId="7" borderId="61" xfId="0" applyNumberFormat="1" applyFont="1" applyFill="1" applyBorder="1"/>
    <xf numFmtId="179" fontId="18" fillId="7" borderId="100" xfId="0" applyNumberFormat="1" applyFont="1" applyFill="1" applyBorder="1"/>
    <xf numFmtId="0" fontId="19" fillId="7" borderId="58" xfId="0" applyFont="1" applyFill="1" applyBorder="1" applyAlignment="1">
      <alignment horizontal="left"/>
    </xf>
    <xf numFmtId="180" fontId="7" fillId="7" borderId="36" xfId="26" applyNumberFormat="1" applyFill="1" applyBorder="1"/>
    <xf numFmtId="180" fontId="18" fillId="7" borderId="98" xfId="0" applyNumberFormat="1" applyFont="1" applyFill="1" applyBorder="1"/>
    <xf numFmtId="180" fontId="18" fillId="7" borderId="58" xfId="0" applyNumberFormat="1" applyFont="1" applyFill="1" applyBorder="1"/>
    <xf numFmtId="180" fontId="18" fillId="7" borderId="58" xfId="0" applyNumberFormat="1" applyFont="1" applyFill="1" applyBorder="1" applyAlignment="1">
      <alignment horizontal="right"/>
    </xf>
    <xf numFmtId="180" fontId="18" fillId="7" borderId="13" xfId="0" applyNumberFormat="1" applyFont="1" applyFill="1" applyBorder="1" applyAlignment="1">
      <alignment horizontal="right"/>
    </xf>
    <xf numFmtId="179" fontId="18" fillId="7" borderId="103" xfId="0" applyNumberFormat="1" applyFont="1" applyFill="1" applyBorder="1" applyAlignment="1">
      <alignment horizontal="right"/>
    </xf>
    <xf numFmtId="0" fontId="19" fillId="7" borderId="82" xfId="0" applyFont="1" applyFill="1" applyBorder="1" applyAlignment="1">
      <alignment horizontal="left"/>
    </xf>
    <xf numFmtId="180" fontId="23" fillId="7" borderId="153" xfId="0" applyNumberFormat="1" applyFont="1" applyFill="1" applyBorder="1"/>
    <xf numFmtId="180" fontId="7" fillId="7" borderId="81" xfId="26" applyNumberFormat="1" applyFill="1" applyBorder="1"/>
    <xf numFmtId="180" fontId="18" fillId="7" borderId="106" xfId="0" applyNumberFormat="1" applyFont="1" applyFill="1" applyBorder="1"/>
    <xf numFmtId="180" fontId="18" fillId="7" borderId="82" xfId="0" applyNumberFormat="1" applyFont="1" applyFill="1" applyBorder="1"/>
    <xf numFmtId="180" fontId="18" fillId="7" borderId="29" xfId="0" applyNumberFormat="1" applyFont="1" applyFill="1" applyBorder="1"/>
    <xf numFmtId="179" fontId="18" fillId="7" borderId="153" xfId="0" applyNumberFormat="1" applyFont="1" applyFill="1" applyBorder="1"/>
    <xf numFmtId="194" fontId="116" fillId="7" borderId="0" xfId="0" applyNumberFormat="1" applyFont="1" applyFill="1"/>
    <xf numFmtId="0" fontId="19" fillId="7" borderId="59" xfId="0" applyFont="1" applyFill="1" applyBorder="1" applyAlignment="1">
      <alignment horizontal="left"/>
    </xf>
    <xf numFmtId="180" fontId="18" fillId="7" borderId="59" xfId="0" applyNumberFormat="1" applyFont="1" applyFill="1" applyBorder="1"/>
    <xf numFmtId="180" fontId="18" fillId="7" borderId="9" xfId="26" applyNumberFormat="1" applyFont="1" applyFill="1" applyBorder="1" applyAlignment="1"/>
    <xf numFmtId="179" fontId="18" fillId="7" borderId="56" xfId="0" applyNumberFormat="1" applyFont="1" applyFill="1" applyBorder="1"/>
    <xf numFmtId="180" fontId="54" fillId="7" borderId="0" xfId="26" applyNumberFormat="1" applyFont="1" applyFill="1" applyAlignment="1">
      <alignment horizontal="center" vertical="top"/>
    </xf>
    <xf numFmtId="178" fontId="18" fillId="7" borderId="164" xfId="26" applyNumberFormat="1" applyFont="1" applyFill="1" applyBorder="1" applyAlignment="1"/>
    <xf numFmtId="179" fontId="18" fillId="7" borderId="180" xfId="0" applyNumberFormat="1" applyFont="1" applyFill="1" applyBorder="1"/>
    <xf numFmtId="178" fontId="18" fillId="7" borderId="63" xfId="26" applyNumberFormat="1" applyFont="1" applyFill="1" applyBorder="1" applyAlignment="1"/>
    <xf numFmtId="0" fontId="7" fillId="7" borderId="0" xfId="0" applyFont="1" applyFill="1" applyAlignment="1">
      <alignment wrapText="1"/>
    </xf>
    <xf numFmtId="179" fontId="18" fillId="7" borderId="63" xfId="26" applyNumberFormat="1" applyFont="1" applyFill="1" applyBorder="1" applyAlignment="1">
      <alignment horizontal="right"/>
    </xf>
    <xf numFmtId="178" fontId="18" fillId="7" borderId="63" xfId="26" applyNumberFormat="1" applyFont="1" applyFill="1" applyBorder="1" applyAlignment="1">
      <alignment horizontal="right"/>
    </xf>
    <xf numFmtId="180" fontId="54" fillId="7" borderId="0" xfId="0" applyNumberFormat="1" applyFont="1" applyFill="1"/>
    <xf numFmtId="178" fontId="18" fillId="7" borderId="66" xfId="26" applyNumberFormat="1" applyFont="1" applyFill="1" applyBorder="1" applyAlignment="1"/>
    <xf numFmtId="178" fontId="18" fillId="7" borderId="152" xfId="26" applyNumberFormat="1" applyFont="1" applyFill="1" applyBorder="1" applyAlignment="1">
      <alignment horizontal="right"/>
    </xf>
    <xf numFmtId="178" fontId="18" fillId="7" borderId="122" xfId="26" applyNumberFormat="1" applyFont="1" applyFill="1" applyBorder="1" applyAlignment="1">
      <alignment horizontal="right"/>
    </xf>
    <xf numFmtId="179" fontId="18" fillId="7" borderId="172" xfId="0" applyNumberFormat="1" applyFont="1" applyFill="1" applyBorder="1"/>
    <xf numFmtId="180" fontId="18" fillId="7" borderId="152" xfId="0" applyNumberFormat="1" applyFont="1" applyFill="1" applyBorder="1"/>
    <xf numFmtId="180" fontId="18" fillId="7" borderId="164" xfId="0" applyNumberFormat="1" applyFont="1" applyFill="1" applyBorder="1"/>
    <xf numFmtId="180" fontId="9" fillId="7" borderId="9" xfId="0" applyNumberFormat="1" applyFont="1" applyFill="1" applyBorder="1"/>
    <xf numFmtId="180" fontId="23" fillId="7" borderId="56" xfId="26" applyNumberFormat="1" applyFont="1" applyFill="1" applyBorder="1" applyAlignment="1"/>
    <xf numFmtId="180" fontId="18" fillId="7" borderId="9" xfId="0" applyNumberFormat="1" applyFont="1" applyFill="1" applyBorder="1"/>
    <xf numFmtId="180" fontId="18" fillId="7" borderId="140" xfId="0" applyNumberFormat="1" applyFont="1" applyFill="1" applyBorder="1"/>
    <xf numFmtId="180" fontId="18" fillId="7" borderId="28" xfId="0" applyNumberFormat="1" applyFont="1" applyFill="1" applyBorder="1"/>
    <xf numFmtId="180" fontId="76" fillId="7" borderId="0" xfId="0" applyNumberFormat="1" applyFont="1" applyFill="1"/>
    <xf numFmtId="180" fontId="53" fillId="7" borderId="0" xfId="0" applyNumberFormat="1" applyFont="1" applyFill="1"/>
    <xf numFmtId="180" fontId="114" fillId="7" borderId="0" xfId="0" applyNumberFormat="1" applyFont="1" applyFill="1"/>
    <xf numFmtId="0" fontId="147" fillId="7" borderId="0" xfId="0" applyFont="1" applyFill="1" applyAlignment="1">
      <alignment vertical="center"/>
    </xf>
    <xf numFmtId="0" fontId="147" fillId="7" borderId="0" xfId="0" applyFont="1" applyFill="1" applyAlignment="1">
      <alignment horizontal="right" vertical="center"/>
    </xf>
    <xf numFmtId="0" fontId="147" fillId="7" borderId="0" xfId="0" applyFont="1" applyFill="1" applyAlignment="1">
      <alignment horizontal="center" vertical="center"/>
    </xf>
    <xf numFmtId="0" fontId="147" fillId="7" borderId="0" xfId="0" applyFont="1" applyFill="1" applyAlignment="1">
      <alignment vertical="center" shrinkToFit="1"/>
    </xf>
    <xf numFmtId="180" fontId="148" fillId="7" borderId="0" xfId="0" applyNumberFormat="1" applyFont="1" applyFill="1" applyAlignment="1">
      <alignment vertical="center"/>
    </xf>
    <xf numFmtId="180" fontId="147" fillId="7" borderId="0" xfId="0" applyNumberFormat="1" applyFont="1" applyFill="1" applyAlignment="1">
      <alignment horizontal="center" vertical="center"/>
    </xf>
    <xf numFmtId="49" fontId="147" fillId="7" borderId="0" xfId="0" applyNumberFormat="1" applyFont="1" applyFill="1" applyAlignment="1">
      <alignment horizontal="center" vertical="center"/>
    </xf>
    <xf numFmtId="0" fontId="146" fillId="7" borderId="0" xfId="0" applyFont="1" applyFill="1" applyAlignment="1">
      <alignment vertical="center"/>
    </xf>
    <xf numFmtId="0" fontId="136" fillId="0" borderId="0" xfId="0" applyFont="1"/>
    <xf numFmtId="0" fontId="136" fillId="0" borderId="0" xfId="0" applyFont="1" applyAlignment="1">
      <alignment vertical="top" wrapText="1"/>
    </xf>
    <xf numFmtId="0" fontId="145" fillId="0" borderId="0" xfId="0" applyFont="1"/>
    <xf numFmtId="0" fontId="57" fillId="7" borderId="0" xfId="0" applyFont="1" applyFill="1"/>
    <xf numFmtId="196" fontId="143" fillId="65" borderId="246" xfId="0" applyNumberFormat="1" applyFont="1" applyFill="1" applyBorder="1" applyAlignment="1">
      <alignment horizontal="center" wrapText="1"/>
    </xf>
    <xf numFmtId="196" fontId="139" fillId="65" borderId="247" xfId="0" applyNumberFormat="1" applyFont="1" applyFill="1" applyBorder="1" applyAlignment="1">
      <alignment horizontal="center" wrapText="1"/>
    </xf>
    <xf numFmtId="196" fontId="140" fillId="65" borderId="247" xfId="0" applyNumberFormat="1" applyFont="1" applyFill="1" applyBorder="1" applyAlignment="1">
      <alignment horizontal="center" wrapText="1"/>
    </xf>
    <xf numFmtId="180" fontId="137" fillId="7" borderId="0" xfId="26" applyNumberFormat="1" applyFont="1" applyFill="1" applyAlignment="1">
      <alignment vertical="center"/>
    </xf>
    <xf numFmtId="180" fontId="149" fillId="7" borderId="0" xfId="0" applyNumberFormat="1" applyFont="1" applyFill="1" applyAlignment="1">
      <alignment vertical="center"/>
    </xf>
    <xf numFmtId="180" fontId="150" fillId="7" borderId="0" xfId="0" applyNumberFormat="1" applyFont="1" applyFill="1" applyAlignment="1">
      <alignment vertical="center"/>
    </xf>
    <xf numFmtId="180" fontId="137" fillId="7" borderId="0" xfId="26" applyNumberFormat="1" applyFont="1" applyFill="1" applyBorder="1" applyAlignment="1">
      <alignment vertical="center"/>
    </xf>
    <xf numFmtId="180" fontId="137" fillId="7" borderId="0" xfId="0" applyNumberFormat="1" applyFont="1" applyFill="1" applyAlignment="1">
      <alignment horizontal="centerContinuous" vertical="center"/>
    </xf>
    <xf numFmtId="9" fontId="137" fillId="7" borderId="0" xfId="18" applyFont="1" applyFill="1" applyBorder="1" applyAlignment="1">
      <alignment vertical="center"/>
    </xf>
    <xf numFmtId="180" fontId="151" fillId="7" borderId="0" xfId="0" applyNumberFormat="1" applyFont="1" applyFill="1" applyAlignment="1">
      <alignment vertical="center"/>
    </xf>
    <xf numFmtId="180" fontId="151" fillId="7" borderId="0" xfId="26" applyNumberFormat="1" applyFont="1" applyFill="1" applyBorder="1" applyAlignment="1">
      <alignment vertical="center"/>
    </xf>
    <xf numFmtId="180" fontId="151" fillId="7" borderId="0" xfId="26" applyNumberFormat="1" applyFont="1" applyFill="1" applyAlignment="1">
      <alignment vertical="center"/>
    </xf>
    <xf numFmtId="180" fontId="152" fillId="7" borderId="0" xfId="0" applyNumberFormat="1" applyFont="1" applyFill="1" applyAlignment="1">
      <alignment vertical="center"/>
    </xf>
    <xf numFmtId="0" fontId="147" fillId="7" borderId="0" xfId="0" applyFont="1" applyFill="1" applyAlignment="1">
      <alignment horizontal="centerContinuous" vertical="center"/>
    </xf>
    <xf numFmtId="0" fontId="137" fillId="7" borderId="0" xfId="0" applyFont="1" applyFill="1" applyAlignment="1">
      <alignment horizontal="right" vertical="center"/>
    </xf>
    <xf numFmtId="0" fontId="135" fillId="7" borderId="0" xfId="0" applyFont="1" applyFill="1" applyAlignment="1">
      <alignment horizontal="center" vertical="center"/>
    </xf>
    <xf numFmtId="38" fontId="147" fillId="7" borderId="0" xfId="26" applyFont="1" applyFill="1" applyBorder="1" applyAlignment="1">
      <alignment vertical="center"/>
    </xf>
    <xf numFmtId="38" fontId="147" fillId="7" borderId="0" xfId="0" applyNumberFormat="1" applyFont="1" applyFill="1" applyAlignment="1">
      <alignment vertical="center"/>
    </xf>
    <xf numFmtId="0" fontId="147" fillId="7" borderId="0" xfId="60" applyFont="1" applyFill="1" applyAlignment="1">
      <alignment vertical="center"/>
    </xf>
    <xf numFmtId="0" fontId="147" fillId="7" borderId="0" xfId="60" applyFont="1" applyFill="1" applyAlignment="1">
      <alignment horizontal="center" vertical="center"/>
    </xf>
    <xf numFmtId="176" fontId="147" fillId="7" borderId="0" xfId="60" applyNumberFormat="1" applyFont="1" applyFill="1" applyAlignment="1">
      <alignment vertical="center"/>
    </xf>
    <xf numFmtId="180" fontId="137" fillId="7" borderId="0" xfId="26" applyNumberFormat="1" applyFont="1" applyFill="1" applyAlignment="1"/>
    <xf numFmtId="180" fontId="137" fillId="7" borderId="0" xfId="0" applyNumberFormat="1" applyFont="1" applyFill="1"/>
    <xf numFmtId="0" fontId="147" fillId="0" borderId="53" xfId="0" applyFont="1" applyBorder="1"/>
    <xf numFmtId="0" fontId="147" fillId="0" borderId="54" xfId="0" applyFont="1" applyBorder="1"/>
    <xf numFmtId="0" fontId="147" fillId="0" borderId="55" xfId="0" applyFont="1" applyBorder="1"/>
    <xf numFmtId="0" fontId="147" fillId="0" borderId="7" xfId="0" applyFont="1" applyBorder="1"/>
    <xf numFmtId="0" fontId="147" fillId="0" borderId="45" xfId="0" applyFont="1" applyBorder="1"/>
    <xf numFmtId="0" fontId="147" fillId="0" borderId="9" xfId="0" applyFont="1" applyBorder="1"/>
    <xf numFmtId="0" fontId="147" fillId="0" borderId="15" xfId="0" applyFont="1" applyBorder="1"/>
    <xf numFmtId="0" fontId="147" fillId="0" borderId="56" xfId="0" applyFont="1" applyBorder="1"/>
    <xf numFmtId="0" fontId="147" fillId="0" borderId="0" xfId="0" applyFont="1"/>
    <xf numFmtId="178" fontId="163" fillId="66" borderId="0" xfId="26" applyNumberFormat="1" applyFont="1" applyFill="1" applyBorder="1" applyAlignment="1">
      <alignment vertical="center"/>
    </xf>
    <xf numFmtId="179" fontId="163" fillId="66" borderId="243" xfId="0" applyNumberFormat="1" applyFont="1" applyFill="1" applyBorder="1" applyAlignment="1">
      <alignment vertical="center"/>
    </xf>
    <xf numFmtId="178" fontId="163" fillId="7" borderId="0" xfId="26" applyNumberFormat="1" applyFont="1" applyFill="1" applyBorder="1" applyAlignment="1">
      <alignment vertical="center"/>
    </xf>
    <xf numFmtId="179" fontId="163" fillId="7" borderId="0" xfId="0" applyNumberFormat="1" applyFont="1" applyFill="1" applyAlignment="1">
      <alignment vertical="center"/>
    </xf>
    <xf numFmtId="179" fontId="163" fillId="66" borderId="0" xfId="0" applyNumberFormat="1" applyFont="1" applyFill="1" applyAlignment="1">
      <alignment vertical="center"/>
    </xf>
    <xf numFmtId="183" fontId="163" fillId="7" borderId="0" xfId="26" applyNumberFormat="1" applyFont="1" applyFill="1" applyBorder="1" applyAlignment="1">
      <alignment vertical="center"/>
    </xf>
    <xf numFmtId="178" fontId="163" fillId="66" borderId="15" xfId="26" applyNumberFormat="1" applyFont="1" applyFill="1" applyBorder="1" applyAlignment="1">
      <alignment horizontal="right" vertical="center"/>
    </xf>
    <xf numFmtId="178" fontId="163" fillId="66" borderId="15" xfId="26" applyNumberFormat="1" applyFont="1" applyFill="1" applyBorder="1" applyAlignment="1">
      <alignment vertical="center"/>
    </xf>
    <xf numFmtId="179" fontId="163" fillId="66" borderId="15" xfId="0" applyNumberFormat="1" applyFont="1" applyFill="1" applyBorder="1" applyAlignment="1">
      <alignment vertical="center"/>
    </xf>
    <xf numFmtId="179" fontId="163" fillId="66" borderId="15" xfId="0" applyNumberFormat="1" applyFont="1" applyFill="1" applyBorder="1" applyAlignment="1">
      <alignment horizontal="right" vertical="center"/>
    </xf>
    <xf numFmtId="178" fontId="163" fillId="7" borderId="15" xfId="26" applyNumberFormat="1" applyFont="1" applyFill="1" applyBorder="1" applyAlignment="1">
      <alignment vertical="center"/>
    </xf>
    <xf numFmtId="179" fontId="163" fillId="7" borderId="15" xfId="0" applyNumberFormat="1" applyFont="1" applyFill="1" applyBorder="1" applyAlignment="1">
      <alignment vertical="center"/>
    </xf>
    <xf numFmtId="178" fontId="163" fillId="7" borderId="258" xfId="26" applyNumberFormat="1" applyFont="1" applyFill="1" applyBorder="1" applyAlignment="1">
      <alignment vertical="center"/>
    </xf>
    <xf numFmtId="179" fontId="163" fillId="7" borderId="258" xfId="0" applyNumberFormat="1" applyFont="1" applyFill="1" applyBorder="1" applyAlignment="1">
      <alignment vertical="center"/>
    </xf>
    <xf numFmtId="201" fontId="163" fillId="66" borderId="0" xfId="26" applyNumberFormat="1" applyFont="1" applyFill="1" applyBorder="1" applyAlignment="1">
      <alignment vertical="center"/>
    </xf>
    <xf numFmtId="179" fontId="163" fillId="66" borderId="0" xfId="0" applyNumberFormat="1" applyFont="1" applyFill="1" applyAlignment="1">
      <alignment horizontal="right" vertical="center"/>
    </xf>
    <xf numFmtId="201" fontId="163" fillId="7" borderId="0" xfId="26" applyNumberFormat="1" applyFont="1" applyFill="1" applyBorder="1" applyAlignment="1">
      <alignment vertical="center"/>
    </xf>
    <xf numFmtId="179" fontId="163" fillId="66" borderId="0" xfId="26" applyNumberFormat="1" applyFont="1" applyFill="1" applyBorder="1" applyAlignment="1">
      <alignment vertical="center"/>
    </xf>
    <xf numFmtId="179" fontId="163" fillId="7" borderId="0" xfId="26" applyNumberFormat="1" applyFont="1" applyFill="1" applyBorder="1" applyAlignment="1">
      <alignment vertical="center"/>
    </xf>
    <xf numFmtId="179" fontId="163" fillId="7" borderId="0" xfId="0" applyNumberFormat="1" applyFont="1" applyFill="1" applyAlignment="1">
      <alignment horizontal="right" vertical="center"/>
    </xf>
    <xf numFmtId="178" fontId="163" fillId="66" borderId="0" xfId="26" applyNumberFormat="1" applyFont="1" applyFill="1" applyBorder="1" applyAlignment="1">
      <alignment horizontal="right" vertical="center"/>
    </xf>
    <xf numFmtId="196" fontId="165" fillId="65" borderId="256" xfId="0" applyNumberFormat="1" applyFont="1" applyFill="1" applyBorder="1" applyAlignment="1">
      <alignment horizontal="center" vertical="top" wrapText="1"/>
    </xf>
    <xf numFmtId="196" fontId="165" fillId="65" borderId="249" xfId="0" applyNumberFormat="1" applyFont="1" applyFill="1" applyBorder="1" applyAlignment="1">
      <alignment horizontal="center" vertical="top" wrapText="1"/>
    </xf>
    <xf numFmtId="0" fontId="167" fillId="7" borderId="0" xfId="0" applyFont="1" applyFill="1"/>
    <xf numFmtId="0" fontId="167" fillId="0" borderId="0" xfId="0" applyFont="1"/>
    <xf numFmtId="180" fontId="57" fillId="7" borderId="0" xfId="0" applyNumberFormat="1" applyFont="1" applyFill="1"/>
    <xf numFmtId="0" fontId="167" fillId="7" borderId="0" xfId="0" applyFont="1" applyFill="1" applyAlignment="1">
      <alignment shrinkToFit="1"/>
    </xf>
    <xf numFmtId="0" fontId="167" fillId="0" borderId="0" xfId="0" applyFont="1" applyAlignment="1">
      <alignment shrinkToFit="1"/>
    </xf>
    <xf numFmtId="0" fontId="167" fillId="0" borderId="0" xfId="0" applyFont="1" applyAlignment="1">
      <alignment horizontal="right"/>
    </xf>
    <xf numFmtId="0" fontId="167" fillId="7" borderId="0" xfId="0" applyFont="1" applyFill="1" applyAlignment="1">
      <alignment horizontal="left"/>
    </xf>
    <xf numFmtId="0" fontId="168" fillId="0" borderId="0" xfId="0" applyFont="1"/>
    <xf numFmtId="180" fontId="166" fillId="7" borderId="0" xfId="26" applyNumberFormat="1" applyFont="1" applyFill="1" applyBorder="1" applyAlignment="1">
      <alignment vertical="center"/>
    </xf>
    <xf numFmtId="38" fontId="170" fillId="7" borderId="0" xfId="26" applyFont="1" applyFill="1" applyBorder="1" applyAlignment="1">
      <alignment vertical="center"/>
    </xf>
    <xf numFmtId="179" fontId="170" fillId="7" borderId="0" xfId="26" applyNumberFormat="1" applyFont="1" applyFill="1" applyBorder="1" applyAlignment="1">
      <alignment vertical="center"/>
    </xf>
    <xf numFmtId="197" fontId="170" fillId="7" borderId="15" xfId="26" applyNumberFormat="1" applyFont="1" applyFill="1" applyBorder="1" applyAlignment="1">
      <alignment horizontal="right" vertical="center"/>
    </xf>
    <xf numFmtId="179" fontId="170" fillId="7" borderId="15" xfId="26" applyNumberFormat="1" applyFont="1" applyFill="1" applyBorder="1" applyAlignment="1">
      <alignment horizontal="right" vertical="center"/>
    </xf>
    <xf numFmtId="38" fontId="170" fillId="68" borderId="0" xfId="26" applyFont="1" applyFill="1" applyBorder="1" applyAlignment="1">
      <alignment vertical="center"/>
    </xf>
    <xf numFmtId="179" fontId="170" fillId="68" borderId="0" xfId="26" applyNumberFormat="1" applyFont="1" applyFill="1" applyBorder="1" applyAlignment="1">
      <alignment vertical="center"/>
    </xf>
    <xf numFmtId="0" fontId="170" fillId="7" borderId="15" xfId="0" applyFont="1" applyFill="1" applyBorder="1" applyAlignment="1">
      <alignment horizontal="right" vertical="center"/>
    </xf>
    <xf numFmtId="0" fontId="170" fillId="7" borderId="15" xfId="0" applyFont="1" applyFill="1" applyBorder="1" applyAlignment="1">
      <alignment horizontal="left" vertical="top" shrinkToFit="1"/>
    </xf>
    <xf numFmtId="0" fontId="174" fillId="7" borderId="0" xfId="0" applyFont="1" applyFill="1" applyAlignment="1">
      <alignment vertical="center"/>
    </xf>
    <xf numFmtId="196" fontId="175" fillId="65" borderId="249" xfId="0" applyNumberFormat="1" applyFont="1" applyFill="1" applyBorder="1" applyAlignment="1">
      <alignment horizontal="center" vertical="top" wrapText="1"/>
    </xf>
    <xf numFmtId="0" fontId="166" fillId="7" borderId="0" xfId="0" applyFont="1" applyFill="1" applyAlignment="1">
      <alignment vertical="center"/>
    </xf>
    <xf numFmtId="0" fontId="43" fillId="7" borderId="0" xfId="0" applyFont="1" applyFill="1" applyAlignment="1">
      <alignment vertical="center"/>
    </xf>
    <xf numFmtId="0" fontId="43" fillId="7" borderId="0" xfId="0" applyFont="1" applyFill="1"/>
    <xf numFmtId="180" fontId="176" fillId="7" borderId="0" xfId="0" applyNumberFormat="1" applyFont="1" applyFill="1" applyAlignment="1">
      <alignment vertical="center"/>
    </xf>
    <xf numFmtId="180" fontId="177" fillId="7" borderId="0" xfId="0" applyNumberFormat="1" applyFont="1" applyFill="1" applyAlignment="1">
      <alignment vertical="center"/>
    </xf>
    <xf numFmtId="0" fontId="170" fillId="7" borderId="0" xfId="0" applyFont="1" applyFill="1" applyAlignment="1">
      <alignment horizontal="centerContinuous" vertical="center"/>
    </xf>
    <xf numFmtId="0" fontId="170" fillId="7" borderId="0" xfId="0" applyFont="1" applyFill="1" applyAlignment="1">
      <alignment horizontal="right" vertical="center"/>
    </xf>
    <xf numFmtId="0" fontId="163" fillId="7" borderId="0" xfId="0" applyFont="1" applyFill="1" applyAlignment="1">
      <alignment horizontal="right" vertical="center"/>
    </xf>
    <xf numFmtId="0" fontId="43" fillId="7" borderId="3" xfId="0" applyFont="1" applyFill="1" applyBorder="1"/>
    <xf numFmtId="0" fontId="43" fillId="7" borderId="15" xfId="0" applyFont="1" applyFill="1" applyBorder="1"/>
    <xf numFmtId="0" fontId="43" fillId="7" borderId="0" xfId="0" applyFont="1" applyFill="1" applyAlignment="1">
      <alignment horizontal="center" vertical="center"/>
    </xf>
    <xf numFmtId="196" fontId="178" fillId="65" borderId="246" xfId="0" applyNumberFormat="1" applyFont="1" applyFill="1" applyBorder="1" applyAlignment="1">
      <alignment horizontal="center" wrapText="1"/>
    </xf>
    <xf numFmtId="196" fontId="165" fillId="65" borderId="247" xfId="0" applyNumberFormat="1" applyFont="1" applyFill="1" applyBorder="1" applyAlignment="1">
      <alignment horizontal="center" wrapText="1"/>
    </xf>
    <xf numFmtId="0" fontId="43" fillId="0" borderId="3" xfId="0" applyFont="1" applyBorder="1"/>
    <xf numFmtId="0" fontId="43" fillId="0" borderId="22" xfId="0" applyFont="1" applyBorder="1"/>
    <xf numFmtId="196" fontId="43" fillId="5" borderId="143" xfId="0" applyNumberFormat="1" applyFont="1" applyFill="1" applyBorder="1" applyAlignment="1">
      <alignment horizontal="centerContinuous" vertical="center"/>
    </xf>
    <xf numFmtId="196" fontId="43" fillId="0" borderId="114" xfId="0" applyNumberFormat="1" applyFont="1" applyBorder="1" applyAlignment="1">
      <alignment horizontal="centerContinuous" wrapText="1"/>
    </xf>
    <xf numFmtId="0" fontId="43" fillId="0" borderId="255" xfId="0" applyFont="1" applyBorder="1"/>
    <xf numFmtId="0" fontId="43" fillId="0" borderId="8" xfId="0" applyFont="1" applyBorder="1"/>
    <xf numFmtId="196" fontId="43" fillId="5" borderId="12" xfId="0" applyNumberFormat="1" applyFont="1" applyFill="1" applyBorder="1" applyAlignment="1">
      <alignment horizontal="centerContinuous" vertical="center"/>
    </xf>
    <xf numFmtId="196" fontId="43" fillId="0" borderId="158" xfId="0" applyNumberFormat="1" applyFont="1" applyBorder="1" applyAlignment="1">
      <alignment horizontal="centerContinuous" wrapText="1"/>
    </xf>
    <xf numFmtId="0" fontId="43" fillId="0" borderId="0" xfId="0" applyFont="1"/>
    <xf numFmtId="0" fontId="43" fillId="0" borderId="52" xfId="0" applyFont="1" applyBorder="1"/>
    <xf numFmtId="0" fontId="43" fillId="0" borderId="186" xfId="0" applyFont="1" applyBorder="1"/>
    <xf numFmtId="196" fontId="43" fillId="0" borderId="144" xfId="0" applyNumberFormat="1" applyFont="1" applyBorder="1" applyAlignment="1">
      <alignment horizontal="centerContinuous" vertical="center" shrinkToFit="1"/>
    </xf>
    <xf numFmtId="180" fontId="170" fillId="0" borderId="144" xfId="0" applyNumberFormat="1" applyFont="1" applyBorder="1" applyAlignment="1">
      <alignment horizontal="center" wrapText="1" shrinkToFit="1"/>
    </xf>
    <xf numFmtId="0" fontId="43" fillId="7" borderId="8" xfId="0" applyFont="1" applyFill="1" applyBorder="1" applyAlignment="1">
      <alignment horizontal="left"/>
    </xf>
    <xf numFmtId="178" fontId="43" fillId="7" borderId="8" xfId="26" applyNumberFormat="1" applyFont="1" applyFill="1" applyBorder="1" applyAlignment="1">
      <alignment horizontal="right"/>
    </xf>
    <xf numFmtId="178" fontId="43" fillId="7" borderId="8" xfId="26" applyNumberFormat="1" applyFont="1" applyFill="1" applyBorder="1"/>
    <xf numFmtId="178" fontId="43" fillId="7" borderId="7" xfId="26" applyNumberFormat="1" applyFont="1" applyFill="1" applyBorder="1"/>
    <xf numFmtId="178" fontId="43" fillId="7" borderId="109" xfId="26" applyNumberFormat="1" applyFont="1" applyFill="1" applyBorder="1"/>
    <xf numFmtId="184" fontId="43" fillId="7" borderId="12" xfId="26" applyNumberFormat="1" applyFont="1" applyFill="1" applyBorder="1"/>
    <xf numFmtId="184" fontId="43" fillId="7" borderId="46" xfId="26" applyNumberFormat="1" applyFont="1" applyFill="1" applyBorder="1"/>
    <xf numFmtId="0" fontId="43" fillId="7" borderId="36" xfId="0" applyFont="1" applyFill="1" applyBorder="1" applyAlignment="1">
      <alignment horizontal="left"/>
    </xf>
    <xf numFmtId="178" fontId="43" fillId="7" borderId="36" xfId="26" applyNumberFormat="1" applyFont="1" applyFill="1" applyBorder="1" applyAlignment="1">
      <alignment horizontal="right"/>
    </xf>
    <xf numFmtId="178" fontId="43" fillId="7" borderId="36" xfId="26" applyNumberFormat="1" applyFont="1" applyFill="1" applyBorder="1"/>
    <xf numFmtId="178" fontId="43" fillId="7" borderId="58" xfId="26" applyNumberFormat="1" applyFont="1" applyFill="1" applyBorder="1"/>
    <xf numFmtId="178" fontId="43" fillId="7" borderId="146" xfId="26" applyNumberFormat="1" applyFont="1" applyFill="1" applyBorder="1"/>
    <xf numFmtId="184" fontId="43" fillId="7" borderId="37" xfId="26" applyNumberFormat="1" applyFont="1" applyFill="1" applyBorder="1"/>
    <xf numFmtId="184" fontId="43" fillId="7" borderId="67" xfId="26" applyNumberFormat="1" applyFont="1" applyFill="1" applyBorder="1"/>
    <xf numFmtId="0" fontId="43" fillId="7" borderId="81" xfId="0" applyFont="1" applyFill="1" applyBorder="1" applyAlignment="1">
      <alignment horizontal="left"/>
    </xf>
    <xf numFmtId="178" fontId="43" fillId="7" borderId="81" xfId="26" applyNumberFormat="1" applyFont="1" applyFill="1" applyBorder="1" applyAlignment="1">
      <alignment horizontal="right"/>
    </xf>
    <xf numFmtId="178" fontId="43" fillId="7" borderId="81" xfId="26" applyNumberFormat="1" applyFont="1" applyFill="1" applyBorder="1"/>
    <xf numFmtId="178" fontId="43" fillId="7" borderId="82" xfId="26" applyNumberFormat="1" applyFont="1" applyFill="1" applyBorder="1"/>
    <xf numFmtId="178" fontId="43" fillId="7" borderId="162" xfId="26" applyNumberFormat="1" applyFont="1" applyFill="1" applyBorder="1"/>
    <xf numFmtId="184" fontId="43" fillId="7" borderId="121" xfId="26" applyNumberFormat="1" applyFont="1" applyFill="1" applyBorder="1"/>
    <xf numFmtId="184" fontId="43" fillId="7" borderId="83" xfId="26" applyNumberFormat="1" applyFont="1" applyFill="1" applyBorder="1"/>
    <xf numFmtId="38" fontId="43" fillId="7" borderId="0" xfId="26" applyFont="1" applyFill="1" applyBorder="1" applyAlignment="1">
      <alignment vertical="center"/>
    </xf>
    <xf numFmtId="178" fontId="43" fillId="7" borderId="38" xfId="26" applyNumberFormat="1" applyFont="1" applyFill="1" applyBorder="1"/>
    <xf numFmtId="178" fontId="43" fillId="7" borderId="106" xfId="26" applyNumberFormat="1" applyFont="1" applyFill="1" applyBorder="1"/>
    <xf numFmtId="178" fontId="43" fillId="7" borderId="3" xfId="0" applyNumberFormat="1" applyFont="1" applyFill="1" applyBorder="1" applyAlignment="1">
      <alignment horizontal="right"/>
    </xf>
    <xf numFmtId="178" fontId="43" fillId="7" borderId="3" xfId="0" applyNumberFormat="1" applyFont="1" applyFill="1" applyBorder="1"/>
    <xf numFmtId="178" fontId="43" fillId="7" borderId="5" xfId="0" applyNumberFormat="1" applyFont="1" applyFill="1" applyBorder="1"/>
    <xf numFmtId="178" fontId="43" fillId="7" borderId="163" xfId="0" applyNumberFormat="1" applyFont="1" applyFill="1" applyBorder="1"/>
    <xf numFmtId="184" fontId="43" fillId="7" borderId="116" xfId="26" applyNumberFormat="1" applyFont="1" applyFill="1" applyBorder="1"/>
    <xf numFmtId="184" fontId="43" fillId="7" borderId="87" xfId="26" applyNumberFormat="1" applyFont="1" applyFill="1" applyBorder="1"/>
    <xf numFmtId="0" fontId="179" fillId="7" borderId="0" xfId="0" applyFont="1" applyFill="1"/>
    <xf numFmtId="196" fontId="43" fillId="7" borderId="143" xfId="26" applyNumberFormat="1" applyFont="1" applyFill="1" applyBorder="1" applyAlignment="1">
      <alignment horizontal="center" vertical="center"/>
    </xf>
    <xf numFmtId="196" fontId="43" fillId="7" borderId="10" xfId="26" applyNumberFormat="1" applyFont="1" applyFill="1" applyBorder="1" applyAlignment="1">
      <alignment horizontal="center" vertical="center"/>
    </xf>
    <xf numFmtId="0" fontId="43" fillId="7" borderId="85" xfId="0" applyFont="1" applyFill="1" applyBorder="1" applyAlignment="1">
      <alignment horizontal="left"/>
    </xf>
    <xf numFmtId="38" fontId="43" fillId="7" borderId="85" xfId="26" applyFont="1" applyFill="1" applyBorder="1" applyAlignment="1">
      <alignment horizontal="right" vertical="center"/>
    </xf>
    <xf numFmtId="38" fontId="43" fillId="7" borderId="61" xfId="26" applyFont="1" applyFill="1" applyBorder="1" applyAlignment="1">
      <alignment horizontal="right" vertical="center"/>
    </xf>
    <xf numFmtId="38" fontId="43" fillId="7" borderId="187" xfId="26" applyFont="1" applyFill="1" applyBorder="1" applyAlignment="1">
      <alignment horizontal="right" vertical="center"/>
    </xf>
    <xf numFmtId="38" fontId="43" fillId="7" borderId="188" xfId="26" applyFont="1" applyFill="1" applyBorder="1" applyAlignment="1">
      <alignment horizontal="right" vertical="center"/>
    </xf>
    <xf numFmtId="179" fontId="43" fillId="7" borderId="190" xfId="26" applyNumberFormat="1" applyFont="1" applyFill="1" applyBorder="1" applyAlignment="1">
      <alignment horizontal="right" vertical="center"/>
    </xf>
    <xf numFmtId="179" fontId="43" fillId="7" borderId="70" xfId="26" applyNumberFormat="1" applyFont="1" applyFill="1" applyBorder="1" applyAlignment="1">
      <alignment horizontal="right" vertical="center"/>
    </xf>
    <xf numFmtId="0" fontId="43" fillId="7" borderId="86" xfId="0" applyFont="1" applyFill="1" applyBorder="1" applyAlignment="1">
      <alignment horizontal="left"/>
    </xf>
    <xf numFmtId="38" fontId="43" fillId="7" borderId="86" xfId="26" applyFont="1" applyFill="1" applyBorder="1" applyAlignment="1">
      <alignment horizontal="right" vertical="center"/>
    </xf>
    <xf numFmtId="38" fontId="43" fillId="7" borderId="57" xfId="26" applyFont="1" applyFill="1" applyBorder="1" applyAlignment="1">
      <alignment horizontal="right" vertical="center"/>
    </xf>
    <xf numFmtId="38" fontId="43" fillId="7" borderId="189" xfId="26" applyFont="1" applyFill="1" applyBorder="1" applyAlignment="1">
      <alignment horizontal="right" vertical="center"/>
    </xf>
    <xf numFmtId="38" fontId="43" fillId="7" borderId="118" xfId="26" applyFont="1" applyFill="1" applyBorder="1" applyAlignment="1">
      <alignment horizontal="right" vertical="center"/>
    </xf>
    <xf numFmtId="179" fontId="43" fillId="7" borderId="125" xfId="26" applyNumberFormat="1" applyFont="1" applyFill="1" applyBorder="1" applyAlignment="1">
      <alignment horizontal="right" vertical="center"/>
    </xf>
    <xf numFmtId="179" fontId="43" fillId="7" borderId="74" xfId="26" applyNumberFormat="1" applyFont="1" applyFill="1" applyBorder="1" applyAlignment="1">
      <alignment horizontal="right" vertical="center"/>
    </xf>
    <xf numFmtId="0" fontId="43" fillId="7" borderId="0" xfId="0" applyFont="1" applyFill="1" applyAlignment="1">
      <alignment horizontal="centerContinuous" vertical="center"/>
    </xf>
    <xf numFmtId="38" fontId="43" fillId="7" borderId="36" xfId="26" applyFont="1" applyFill="1" applyBorder="1" applyAlignment="1">
      <alignment horizontal="right" vertical="center"/>
    </xf>
    <xf numFmtId="38" fontId="43" fillId="7" borderId="58" xfId="26" applyFont="1" applyFill="1" applyBorder="1" applyAlignment="1">
      <alignment horizontal="right" vertical="center"/>
    </xf>
    <xf numFmtId="38" fontId="43" fillId="7" borderId="14" xfId="26" applyFont="1" applyFill="1" applyBorder="1" applyAlignment="1">
      <alignment horizontal="right" vertical="center"/>
    </xf>
    <xf numFmtId="38" fontId="43" fillId="7" borderId="8" xfId="26" applyFont="1" applyFill="1" applyBorder="1" applyAlignment="1">
      <alignment horizontal="right" vertical="center"/>
    </xf>
    <xf numFmtId="38" fontId="43" fillId="7" borderId="7" xfId="26" applyFont="1" applyFill="1" applyBorder="1" applyAlignment="1">
      <alignment horizontal="right" vertical="center"/>
    </xf>
    <xf numFmtId="38" fontId="43" fillId="7" borderId="109" xfId="26" applyFont="1" applyFill="1" applyBorder="1" applyAlignment="1">
      <alignment horizontal="right" vertical="center"/>
    </xf>
    <xf numFmtId="179" fontId="43" fillId="7" borderId="12" xfId="26" applyNumberFormat="1" applyFont="1" applyFill="1" applyBorder="1" applyAlignment="1">
      <alignment horizontal="right" vertical="center"/>
    </xf>
    <xf numFmtId="179" fontId="43" fillId="7" borderId="46" xfId="26" applyNumberFormat="1" applyFont="1" applyFill="1" applyBorder="1" applyAlignment="1">
      <alignment horizontal="right" vertical="center"/>
    </xf>
    <xf numFmtId="38" fontId="43" fillId="7" borderId="146" xfId="26" applyFont="1" applyFill="1" applyBorder="1" applyAlignment="1">
      <alignment horizontal="right" vertical="center"/>
    </xf>
    <xf numFmtId="179" fontId="43" fillId="7" borderId="37" xfId="26" applyNumberFormat="1" applyFont="1" applyFill="1" applyBorder="1" applyAlignment="1">
      <alignment horizontal="right" vertical="center"/>
    </xf>
    <xf numFmtId="179" fontId="43" fillId="7" borderId="67" xfId="26" applyNumberFormat="1" applyFont="1" applyFill="1" applyBorder="1" applyAlignment="1">
      <alignment horizontal="right" vertical="center"/>
    </xf>
    <xf numFmtId="38" fontId="43" fillId="7" borderId="81" xfId="26" applyFont="1" applyFill="1" applyBorder="1" applyAlignment="1">
      <alignment horizontal="right" vertical="center"/>
    </xf>
    <xf numFmtId="38" fontId="43" fillId="7" borderId="82" xfId="26" applyFont="1" applyFill="1" applyBorder="1" applyAlignment="1">
      <alignment horizontal="right" vertical="center"/>
    </xf>
    <xf numFmtId="38" fontId="43" fillId="7" borderId="162" xfId="26" applyFont="1" applyFill="1" applyBorder="1" applyAlignment="1">
      <alignment horizontal="right" vertical="center"/>
    </xf>
    <xf numFmtId="179" fontId="43" fillId="7" borderId="121" xfId="26" applyNumberFormat="1" applyFont="1" applyFill="1" applyBorder="1" applyAlignment="1">
      <alignment horizontal="right" vertical="center"/>
    </xf>
    <xf numFmtId="179" fontId="43" fillId="7" borderId="83" xfId="26" applyNumberFormat="1" applyFont="1" applyFill="1" applyBorder="1" applyAlignment="1">
      <alignment horizontal="right" vertical="center"/>
    </xf>
    <xf numFmtId="38" fontId="43" fillId="7" borderId="0" xfId="0" applyNumberFormat="1" applyFont="1" applyFill="1" applyAlignment="1">
      <alignment vertical="center"/>
    </xf>
    <xf numFmtId="0" fontId="43" fillId="7" borderId="3" xfId="0" applyFont="1" applyFill="1" applyBorder="1" applyAlignment="1">
      <alignment horizontal="left"/>
    </xf>
    <xf numFmtId="38" fontId="43" fillId="7" borderId="3" xfId="26" applyFont="1" applyFill="1" applyBorder="1" applyAlignment="1">
      <alignment horizontal="right" vertical="center"/>
    </xf>
    <xf numFmtId="38" fontId="43" fillId="7" borderId="5" xfId="26" applyFont="1" applyFill="1" applyBorder="1" applyAlignment="1">
      <alignment horizontal="right" vertical="center"/>
    </xf>
    <xf numFmtId="38" fontId="43" fillId="7" borderId="163" xfId="26" applyFont="1" applyFill="1" applyBorder="1" applyAlignment="1">
      <alignment horizontal="right" vertical="center"/>
    </xf>
    <xf numFmtId="179" fontId="43" fillId="7" borderId="116" xfId="26" applyNumberFormat="1" applyFont="1" applyFill="1" applyBorder="1" applyAlignment="1">
      <alignment horizontal="right" vertical="center"/>
    </xf>
    <xf numFmtId="179" fontId="43" fillId="7" borderId="87" xfId="26" applyNumberFormat="1" applyFont="1" applyFill="1" applyBorder="1" applyAlignment="1">
      <alignment horizontal="right" vertical="center"/>
    </xf>
    <xf numFmtId="196" fontId="43" fillId="7" borderId="3" xfId="0" applyNumberFormat="1" applyFont="1" applyFill="1" applyBorder="1"/>
    <xf numFmtId="196" fontId="43" fillId="7" borderId="7" xfId="0" applyNumberFormat="1" applyFont="1" applyFill="1" applyBorder="1" applyAlignment="1">
      <alignment horizontal="center"/>
    </xf>
    <xf numFmtId="0" fontId="43" fillId="7" borderId="7" xfId="0" applyFont="1" applyFill="1" applyBorder="1" applyAlignment="1">
      <alignment horizontal="center"/>
    </xf>
    <xf numFmtId="0" fontId="163" fillId="7" borderId="0" xfId="0" applyFont="1" applyFill="1" applyAlignment="1">
      <alignment horizontal="right"/>
    </xf>
    <xf numFmtId="0" fontId="43" fillId="7" borderId="7" xfId="0" applyFont="1" applyFill="1" applyBorder="1"/>
    <xf numFmtId="0" fontId="43" fillId="7" borderId="0" xfId="59" applyFont="1" applyFill="1"/>
    <xf numFmtId="0" fontId="180" fillId="7" borderId="0" xfId="0" applyFont="1" applyFill="1"/>
    <xf numFmtId="0" fontId="43" fillId="7" borderId="242" xfId="0" applyFont="1" applyFill="1" applyBorder="1"/>
    <xf numFmtId="0" fontId="181" fillId="7" borderId="243" xfId="22" applyFont="1" applyFill="1" applyBorder="1" applyAlignment="1" applyProtection="1"/>
    <xf numFmtId="0" fontId="43" fillId="7" borderId="243" xfId="0" applyFont="1" applyFill="1" applyBorder="1"/>
    <xf numFmtId="0" fontId="43" fillId="7" borderId="244" xfId="0" applyFont="1" applyFill="1" applyBorder="1"/>
    <xf numFmtId="0" fontId="43" fillId="7" borderId="45" xfId="0" applyFont="1" applyFill="1" applyBorder="1"/>
    <xf numFmtId="0" fontId="43" fillId="7" borderId="9" xfId="0" applyFont="1" applyFill="1" applyBorder="1"/>
    <xf numFmtId="0" fontId="43" fillId="7" borderId="56" xfId="0" applyFont="1" applyFill="1" applyBorder="1"/>
    <xf numFmtId="0" fontId="186" fillId="7" borderId="0" xfId="0" applyFont="1" applyFill="1" applyAlignment="1">
      <alignment horizontal="right"/>
    </xf>
    <xf numFmtId="0" fontId="43" fillId="7" borderId="0" xfId="59" applyFont="1" applyFill="1" applyAlignment="1">
      <alignment vertical="center"/>
    </xf>
    <xf numFmtId="180" fontId="187" fillId="7" borderId="0" xfId="59" applyNumberFormat="1" applyFont="1" applyFill="1" applyAlignment="1">
      <alignment vertical="center"/>
    </xf>
    <xf numFmtId="180" fontId="177" fillId="7" borderId="0" xfId="59" applyNumberFormat="1" applyFont="1" applyFill="1" applyAlignment="1">
      <alignment vertical="center"/>
    </xf>
    <xf numFmtId="0" fontId="166" fillId="7" borderId="0" xfId="0" applyFont="1" applyFill="1" applyAlignment="1">
      <alignment horizontal="right"/>
    </xf>
    <xf numFmtId="0" fontId="43" fillId="7" borderId="0" xfId="0" applyFont="1" applyFill="1" applyAlignment="1">
      <alignment horizontal="right" vertical="center"/>
    </xf>
    <xf numFmtId="0" fontId="178" fillId="69" borderId="248" xfId="0" applyFont="1" applyFill="1" applyBorder="1" applyAlignment="1">
      <alignment horizontal="center" vertical="top" wrapText="1"/>
    </xf>
    <xf numFmtId="177" fontId="43" fillId="7" borderId="0" xfId="18" applyNumberFormat="1" applyFont="1" applyFill="1" applyAlignment="1">
      <alignment horizontal="center" vertical="center"/>
    </xf>
    <xf numFmtId="0" fontId="43" fillId="7" borderId="242" xfId="59" applyFont="1" applyFill="1" applyBorder="1"/>
    <xf numFmtId="0" fontId="181" fillId="7" borderId="243" xfId="22" applyFont="1" applyFill="1" applyBorder="1" applyAlignment="1" applyProtection="1">
      <alignment horizontal="left" vertical="center"/>
    </xf>
    <xf numFmtId="0" fontId="43" fillId="7" borderId="243" xfId="0" applyFont="1" applyFill="1" applyBorder="1" applyAlignment="1">
      <alignment horizontal="center" vertical="center"/>
    </xf>
    <xf numFmtId="0" fontId="43" fillId="7" borderId="244" xfId="0" applyFont="1" applyFill="1" applyBorder="1" applyAlignment="1">
      <alignment horizontal="center" vertical="center"/>
    </xf>
    <xf numFmtId="0" fontId="43" fillId="7" borderId="9" xfId="0" applyFont="1" applyFill="1" applyBorder="1" applyAlignment="1">
      <alignment horizontal="left" vertical="center"/>
    </xf>
    <xf numFmtId="0" fontId="43" fillId="7" borderId="56" xfId="0" applyFont="1" applyFill="1" applyBorder="1" applyAlignment="1">
      <alignment horizontal="center" vertical="center"/>
    </xf>
    <xf numFmtId="0" fontId="180" fillId="7" borderId="0" xfId="0" applyFont="1" applyFill="1" applyAlignment="1">
      <alignment horizontal="left" vertical="center"/>
    </xf>
    <xf numFmtId="0" fontId="190" fillId="7" borderId="0" xfId="59" applyFont="1" applyFill="1" applyAlignment="1">
      <alignment vertical="center"/>
    </xf>
    <xf numFmtId="0" fontId="190" fillId="7" borderId="0" xfId="59" applyFont="1" applyFill="1"/>
    <xf numFmtId="0" fontId="164" fillId="7" borderId="0" xfId="59" applyFont="1" applyFill="1" applyAlignment="1">
      <alignment horizontal="right" vertical="center"/>
    </xf>
    <xf numFmtId="0" fontId="163" fillId="7" borderId="0" xfId="0" applyFont="1" applyFill="1" applyAlignment="1">
      <alignment vertical="center" wrapText="1"/>
    </xf>
    <xf numFmtId="0" fontId="43" fillId="7" borderId="22" xfId="0" applyFont="1" applyFill="1" applyBorder="1"/>
    <xf numFmtId="0" fontId="43" fillId="7" borderId="8" xfId="0" applyFont="1" applyFill="1" applyBorder="1"/>
    <xf numFmtId="0" fontId="163" fillId="7" borderId="109" xfId="0" applyFont="1" applyFill="1" applyBorder="1" applyAlignment="1">
      <alignment horizontal="center" vertical="center" wrapText="1"/>
    </xf>
    <xf numFmtId="0" fontId="163" fillId="7" borderId="158" xfId="0" applyFont="1" applyFill="1" applyBorder="1" applyAlignment="1">
      <alignment horizontal="center" vertical="center" wrapText="1"/>
    </xf>
    <xf numFmtId="0" fontId="170" fillId="7" borderId="243" xfId="0" applyFont="1" applyFill="1" applyBorder="1" applyAlignment="1">
      <alignment horizontal="left" vertical="center" wrapText="1"/>
    </xf>
    <xf numFmtId="0" fontId="170" fillId="7" borderId="15" xfId="0" applyFont="1" applyFill="1" applyBorder="1" applyAlignment="1">
      <alignment horizontal="left" vertical="center" wrapText="1"/>
    </xf>
    <xf numFmtId="0" fontId="43" fillId="7" borderId="7" xfId="59" applyFont="1" applyFill="1" applyBorder="1"/>
    <xf numFmtId="0" fontId="43" fillId="7" borderId="29" xfId="0" applyFont="1" applyFill="1" applyBorder="1" applyAlignment="1">
      <alignment horizontal="center" vertical="center" wrapText="1"/>
    </xf>
    <xf numFmtId="0" fontId="43" fillId="7" borderId="30" xfId="0" applyFont="1" applyFill="1" applyBorder="1" applyAlignment="1">
      <alignment horizontal="center" vertical="center"/>
    </xf>
    <xf numFmtId="0" fontId="43" fillId="7" borderId="119" xfId="0" applyFont="1" applyFill="1" applyBorder="1" applyAlignment="1">
      <alignment horizontal="center" vertical="center"/>
    </xf>
    <xf numFmtId="0" fontId="43" fillId="7" borderId="120" xfId="0" applyFont="1" applyFill="1" applyBorder="1" applyAlignment="1">
      <alignment horizontal="center" vertical="center" wrapText="1"/>
    </xf>
    <xf numFmtId="0" fontId="43" fillId="7" borderId="121" xfId="0" applyFont="1" applyFill="1" applyBorder="1" applyAlignment="1">
      <alignment horizontal="center" vertical="center"/>
    </xf>
    <xf numFmtId="177" fontId="43" fillId="7" borderId="0" xfId="18" applyNumberFormat="1" applyFont="1" applyFill="1" applyAlignment="1">
      <alignment vertical="center"/>
    </xf>
    <xf numFmtId="177" fontId="43" fillId="7" borderId="0" xfId="18" applyNumberFormat="1" applyFont="1" applyFill="1"/>
    <xf numFmtId="0" fontId="43" fillId="7" borderId="31" xfId="0" applyFont="1" applyFill="1" applyBorder="1" applyAlignment="1">
      <alignment horizontal="center"/>
    </xf>
    <xf numFmtId="186" fontId="43" fillId="7" borderId="1" xfId="0" applyNumberFormat="1" applyFont="1" applyFill="1" applyBorder="1"/>
    <xf numFmtId="38" fontId="43" fillId="7" borderId="32" xfId="26" applyFont="1" applyFill="1" applyBorder="1"/>
    <xf numFmtId="186" fontId="43" fillId="7" borderId="48" xfId="0" applyNumberFormat="1" applyFont="1" applyFill="1" applyBorder="1"/>
    <xf numFmtId="38" fontId="43" fillId="7" borderId="49" xfId="26" applyFont="1" applyFill="1" applyBorder="1"/>
    <xf numFmtId="201" fontId="43" fillId="7" borderId="49" xfId="26" applyNumberFormat="1" applyFont="1" applyFill="1" applyBorder="1"/>
    <xf numFmtId="201" fontId="43" fillId="7" borderId="47" xfId="0" applyNumberFormat="1" applyFont="1" applyFill="1" applyBorder="1"/>
    <xf numFmtId="0" fontId="43" fillId="7" borderId="3" xfId="0" applyFont="1" applyFill="1" applyBorder="1" applyAlignment="1">
      <alignment horizontal="center"/>
    </xf>
    <xf numFmtId="38" fontId="43" fillId="7" borderId="19" xfId="26" applyFont="1" applyFill="1" applyBorder="1"/>
    <xf numFmtId="186" fontId="43" fillId="7" borderId="18" xfId="0" applyNumberFormat="1" applyFont="1" applyFill="1" applyBorder="1"/>
    <xf numFmtId="38" fontId="43" fillId="7" borderId="63" xfId="26" applyFont="1" applyFill="1" applyBorder="1"/>
    <xf numFmtId="201" fontId="43" fillId="7" borderId="63" xfId="26" applyNumberFormat="1" applyFont="1" applyFill="1" applyBorder="1"/>
    <xf numFmtId="201" fontId="43" fillId="7" borderId="93" xfId="0" applyNumberFormat="1" applyFont="1" applyFill="1" applyBorder="1"/>
    <xf numFmtId="0" fontId="43" fillId="7" borderId="9" xfId="0" applyFont="1" applyFill="1" applyBorder="1" applyAlignment="1">
      <alignment horizontal="center"/>
    </xf>
    <xf numFmtId="38" fontId="43" fillId="7" borderId="16" xfId="26" applyFont="1" applyFill="1" applyBorder="1"/>
    <xf numFmtId="38" fontId="43" fillId="7" borderId="66" xfId="26" applyFont="1" applyFill="1" applyBorder="1"/>
    <xf numFmtId="201" fontId="43" fillId="7" borderId="66" xfId="26" applyNumberFormat="1" applyFont="1" applyFill="1" applyBorder="1"/>
    <xf numFmtId="186" fontId="43" fillId="7" borderId="165" xfId="0" applyNumberFormat="1" applyFont="1" applyFill="1" applyBorder="1"/>
    <xf numFmtId="0" fontId="170" fillId="7" borderId="0" xfId="0" applyFont="1" applyFill="1" applyAlignment="1">
      <alignment horizontal="left" vertical="center" wrapText="1"/>
    </xf>
    <xf numFmtId="186" fontId="43" fillId="7" borderId="78" xfId="0" applyNumberFormat="1" applyFont="1" applyFill="1" applyBorder="1"/>
    <xf numFmtId="0" fontId="163" fillId="7" borderId="56" xfId="0" applyFont="1" applyFill="1" applyBorder="1" applyAlignment="1">
      <alignment horizontal="center" vertical="center"/>
    </xf>
    <xf numFmtId="38" fontId="43" fillId="7" borderId="122" xfId="26" applyFont="1" applyFill="1" applyBorder="1"/>
    <xf numFmtId="186" fontId="43" fillId="7" borderId="116" xfId="0" applyNumberFormat="1" applyFont="1" applyFill="1" applyBorder="1"/>
    <xf numFmtId="201" fontId="43" fillId="7" borderId="122" xfId="26" applyNumberFormat="1" applyFont="1" applyFill="1" applyBorder="1"/>
    <xf numFmtId="201" fontId="43" fillId="7" borderId="116" xfId="0" applyNumberFormat="1" applyFont="1" applyFill="1" applyBorder="1" applyAlignment="1">
      <alignment horizontal="right"/>
    </xf>
    <xf numFmtId="0" fontId="166" fillId="7" borderId="0" xfId="59" applyFont="1" applyFill="1" applyAlignment="1">
      <alignment vertical="center"/>
    </xf>
    <xf numFmtId="0" fontId="43" fillId="7" borderId="3" xfId="59" applyFont="1" applyFill="1" applyBorder="1"/>
    <xf numFmtId="38" fontId="43" fillId="7" borderId="3" xfId="26" applyFont="1" applyFill="1" applyBorder="1"/>
    <xf numFmtId="0" fontId="43" fillId="7" borderId="0" xfId="59" applyFont="1" applyFill="1" applyAlignment="1">
      <alignment horizontal="right"/>
    </xf>
    <xf numFmtId="3" fontId="43" fillId="7" borderId="0" xfId="59" applyNumberFormat="1" applyFont="1" applyFill="1"/>
    <xf numFmtId="38" fontId="43" fillId="7" borderId="0" xfId="59" applyNumberFormat="1" applyFont="1" applyFill="1"/>
    <xf numFmtId="0" fontId="166" fillId="7" borderId="0" xfId="59" applyFont="1" applyFill="1"/>
    <xf numFmtId="186" fontId="43" fillId="7" borderId="0" xfId="59" applyNumberFormat="1" applyFont="1" applyFill="1"/>
    <xf numFmtId="49" fontId="43" fillId="7" borderId="0" xfId="59" applyNumberFormat="1" applyFont="1" applyFill="1"/>
    <xf numFmtId="0" fontId="194" fillId="7" borderId="242" xfId="59" applyFont="1" applyFill="1" applyBorder="1"/>
    <xf numFmtId="0" fontId="43" fillId="7" borderId="243" xfId="59" applyFont="1" applyFill="1" applyBorder="1"/>
    <xf numFmtId="0" fontId="43" fillId="7" borderId="244" xfId="59" applyFont="1" applyFill="1" applyBorder="1"/>
    <xf numFmtId="0" fontId="43" fillId="7" borderId="9" xfId="59" applyFont="1" applyFill="1" applyBorder="1"/>
    <xf numFmtId="0" fontId="43" fillId="7" borderId="15" xfId="59" applyFont="1" applyFill="1" applyBorder="1"/>
    <xf numFmtId="0" fontId="43" fillId="7" borderId="56" xfId="59" applyFont="1" applyFill="1" applyBorder="1"/>
    <xf numFmtId="38" fontId="43" fillId="7" borderId="0" xfId="26" applyFont="1" applyFill="1"/>
    <xf numFmtId="38" fontId="180" fillId="7" borderId="0" xfId="26" applyFont="1" applyFill="1"/>
    <xf numFmtId="180" fontId="176" fillId="7" borderId="0" xfId="59" applyNumberFormat="1" applyFont="1" applyFill="1" applyAlignment="1">
      <alignment vertical="center"/>
    </xf>
    <xf numFmtId="0" fontId="163" fillId="7" borderId="114" xfId="59" applyFont="1" applyFill="1" applyBorder="1" applyAlignment="1">
      <alignment horizontal="center" vertical="center"/>
    </xf>
    <xf numFmtId="0" fontId="163" fillId="7" borderId="114" xfId="59" applyFont="1" applyFill="1" applyBorder="1" applyAlignment="1">
      <alignment horizontal="center" vertical="center" wrapText="1"/>
    </xf>
    <xf numFmtId="0" fontId="163" fillId="7" borderId="158" xfId="59" applyFont="1" applyFill="1" applyBorder="1" applyAlignment="1">
      <alignment horizontal="center" vertical="center"/>
    </xf>
    <xf numFmtId="0" fontId="163" fillId="7" borderId="158" xfId="59" applyFont="1" applyFill="1" applyBorder="1" applyAlignment="1">
      <alignment horizontal="center" vertical="center" wrapText="1"/>
    </xf>
    <xf numFmtId="196" fontId="43" fillId="7" borderId="144" xfId="0" applyNumberFormat="1" applyFont="1" applyFill="1" applyBorder="1" applyAlignment="1">
      <alignment horizontal="centerContinuous" vertical="center" shrinkToFit="1"/>
    </xf>
    <xf numFmtId="180" fontId="170" fillId="7" borderId="144" xfId="0" applyNumberFormat="1" applyFont="1" applyFill="1" applyBorder="1" applyAlignment="1">
      <alignment horizontal="center" wrapText="1" shrinkToFit="1"/>
    </xf>
    <xf numFmtId="0" fontId="43" fillId="7" borderId="8" xfId="59" applyFont="1" applyFill="1" applyBorder="1" applyAlignment="1">
      <alignment horizontal="right"/>
    </xf>
    <xf numFmtId="38" fontId="43" fillId="7" borderId="7" xfId="26" applyFont="1" applyFill="1" applyBorder="1"/>
    <xf numFmtId="38" fontId="43" fillId="7" borderId="8" xfId="26" applyFont="1" applyFill="1" applyBorder="1"/>
    <xf numFmtId="38" fontId="43" fillId="7" borderId="46" xfId="26" applyFont="1" applyFill="1" applyBorder="1"/>
    <xf numFmtId="212" fontId="43" fillId="7" borderId="46" xfId="26" applyNumberFormat="1" applyFont="1" applyFill="1" applyBorder="1"/>
    <xf numFmtId="189" fontId="43" fillId="7" borderId="46" xfId="26" applyNumberFormat="1" applyFont="1" applyFill="1" applyBorder="1" applyAlignment="1">
      <alignment horizontal="right"/>
    </xf>
    <xf numFmtId="0" fontId="43" fillId="7" borderId="81" xfId="59" applyFont="1" applyFill="1" applyBorder="1" applyAlignment="1">
      <alignment horizontal="right"/>
    </xf>
    <xf numFmtId="38" fontId="43" fillId="7" borderId="82" xfId="26" applyFont="1" applyFill="1" applyBorder="1"/>
    <xf numFmtId="38" fontId="43" fillId="7" borderId="81" xfId="26" applyFont="1" applyFill="1" applyBorder="1"/>
    <xf numFmtId="38" fontId="43" fillId="7" borderId="83" xfId="26" applyFont="1" applyFill="1" applyBorder="1"/>
    <xf numFmtId="212" fontId="43" fillId="7" borderId="83" xfId="26" applyNumberFormat="1" applyFont="1" applyFill="1" applyBorder="1"/>
    <xf numFmtId="0" fontId="43" fillId="7" borderId="86" xfId="59" applyFont="1" applyFill="1" applyBorder="1" applyAlignment="1">
      <alignment horizontal="right"/>
    </xf>
    <xf numFmtId="38" fontId="43" fillId="7" borderId="57" xfId="26" applyFont="1" applyFill="1" applyBorder="1"/>
    <xf numFmtId="38" fontId="43" fillId="7" borderId="86" xfId="26" applyFont="1" applyFill="1" applyBorder="1"/>
    <xf numFmtId="38" fontId="43" fillId="7" borderId="74" xfId="26" applyFont="1" applyFill="1" applyBorder="1"/>
    <xf numFmtId="189" fontId="43" fillId="7" borderId="74" xfId="26" applyNumberFormat="1" applyFont="1" applyFill="1" applyBorder="1" applyAlignment="1">
      <alignment horizontal="right"/>
    </xf>
    <xf numFmtId="0" fontId="43" fillId="7" borderId="6" xfId="59" applyFont="1" applyFill="1" applyBorder="1" applyAlignment="1">
      <alignment horizontal="right"/>
    </xf>
    <xf numFmtId="38" fontId="43" fillId="7" borderId="9" xfId="26" applyFont="1" applyFill="1" applyBorder="1"/>
    <xf numFmtId="38" fontId="43" fillId="7" borderId="6" xfId="26" applyFont="1" applyFill="1" applyBorder="1"/>
    <xf numFmtId="38" fontId="43" fillId="7" borderId="73" xfId="26" applyFont="1" applyFill="1" applyBorder="1"/>
    <xf numFmtId="189" fontId="43" fillId="7" borderId="73" xfId="26" applyNumberFormat="1" applyFont="1" applyFill="1" applyBorder="1" applyAlignment="1">
      <alignment horizontal="right"/>
    </xf>
    <xf numFmtId="179" fontId="43" fillId="7" borderId="0" xfId="26" applyNumberFormat="1" applyFont="1" applyFill="1" applyBorder="1" applyAlignment="1">
      <alignment vertical="center"/>
    </xf>
    <xf numFmtId="0" fontId="43" fillId="7" borderId="6" xfId="59" applyFont="1" applyFill="1" applyBorder="1" applyAlignment="1">
      <alignment horizontal="center"/>
    </xf>
    <xf numFmtId="38" fontId="43" fillId="7" borderId="91" xfId="26" applyFont="1" applyFill="1" applyBorder="1"/>
    <xf numFmtId="184" fontId="43" fillId="7" borderId="91" xfId="26" applyNumberFormat="1" applyFont="1" applyFill="1" applyBorder="1"/>
    <xf numFmtId="212" fontId="43" fillId="7" borderId="91" xfId="26" applyNumberFormat="1" applyFont="1" applyFill="1" applyBorder="1"/>
    <xf numFmtId="0" fontId="43" fillId="7" borderId="0" xfId="59" applyFont="1" applyFill="1" applyAlignment="1">
      <alignment horizontal="center"/>
    </xf>
    <xf numFmtId="38" fontId="43" fillId="7" borderId="0" xfId="26" applyFont="1" applyFill="1" applyBorder="1"/>
    <xf numFmtId="184" fontId="43" fillId="7" borderId="0" xfId="26" applyNumberFormat="1" applyFont="1" applyFill="1" applyBorder="1"/>
    <xf numFmtId="0" fontId="44" fillId="7" borderId="3" xfId="0" applyFont="1" applyFill="1" applyBorder="1"/>
    <xf numFmtId="0" fontId="43" fillId="7" borderId="21" xfId="59" applyFont="1" applyFill="1" applyBorder="1"/>
    <xf numFmtId="0" fontId="43" fillId="7" borderId="52" xfId="0" applyFont="1" applyFill="1" applyBorder="1"/>
    <xf numFmtId="0" fontId="43" fillId="7" borderId="64" xfId="0" applyFont="1" applyFill="1" applyBorder="1"/>
    <xf numFmtId="0" fontId="43" fillId="7" borderId="8" xfId="59" applyFont="1" applyFill="1" applyBorder="1"/>
    <xf numFmtId="193" fontId="43" fillId="7" borderId="7" xfId="26" applyNumberFormat="1" applyFont="1" applyFill="1" applyBorder="1"/>
    <xf numFmtId="193" fontId="43" fillId="7" borderId="8" xfId="26" applyNumberFormat="1" applyFont="1" applyFill="1" applyBorder="1"/>
    <xf numFmtId="193" fontId="43" fillId="7" borderId="107" xfId="26" applyNumberFormat="1" applyFont="1" applyFill="1" applyBorder="1"/>
    <xf numFmtId="0" fontId="43" fillId="7" borderId="36" xfId="59" applyFont="1" applyFill="1" applyBorder="1" applyAlignment="1">
      <alignment wrapText="1"/>
    </xf>
    <xf numFmtId="193" fontId="43" fillId="7" borderId="58" xfId="26" applyNumberFormat="1" applyFont="1" applyFill="1" applyBorder="1"/>
    <xf numFmtId="193" fontId="43" fillId="7" borderId="36" xfId="26" applyNumberFormat="1" applyFont="1" applyFill="1" applyBorder="1"/>
    <xf numFmtId="193" fontId="43" fillId="7" borderId="67" xfId="26" applyNumberFormat="1" applyFont="1" applyFill="1" applyBorder="1"/>
    <xf numFmtId="193" fontId="43" fillId="7" borderId="9" xfId="26" applyNumberFormat="1" applyFont="1" applyFill="1" applyBorder="1"/>
    <xf numFmtId="193" fontId="43" fillId="7" borderId="6" xfId="26" applyNumberFormat="1" applyFont="1" applyFill="1" applyBorder="1"/>
    <xf numFmtId="193" fontId="43" fillId="7" borderId="46" xfId="26" applyNumberFormat="1" applyFont="1" applyFill="1" applyBorder="1"/>
    <xf numFmtId="193" fontId="43" fillId="7" borderId="87" xfId="26" applyNumberFormat="1" applyFont="1" applyFill="1" applyBorder="1"/>
    <xf numFmtId="0" fontId="174" fillId="7" borderId="0" xfId="59" applyFont="1" applyFill="1" applyAlignment="1">
      <alignment vertical="center"/>
    </xf>
    <xf numFmtId="38" fontId="43" fillId="7" borderId="0" xfId="26" applyFont="1" applyFill="1" applyAlignment="1">
      <alignment vertical="center"/>
    </xf>
    <xf numFmtId="38" fontId="43" fillId="7" borderId="0" xfId="26" applyFont="1" applyFill="1" applyAlignment="1">
      <alignment horizontal="right" vertical="center"/>
    </xf>
    <xf numFmtId="38" fontId="177" fillId="7" borderId="0" xfId="26" applyFont="1" applyFill="1" applyAlignment="1">
      <alignment vertical="center"/>
    </xf>
    <xf numFmtId="38" fontId="177" fillId="7" borderId="0" xfId="26" applyFont="1" applyFill="1" applyAlignment="1"/>
    <xf numFmtId="38" fontId="195" fillId="7" borderId="3" xfId="26" applyFont="1" applyFill="1" applyBorder="1"/>
    <xf numFmtId="38" fontId="195" fillId="7" borderId="0" xfId="26" applyFont="1" applyFill="1"/>
    <xf numFmtId="196" fontId="172" fillId="65" borderId="246" xfId="0" applyNumberFormat="1" applyFont="1" applyFill="1" applyBorder="1" applyAlignment="1">
      <alignment horizontal="center" wrapText="1"/>
    </xf>
    <xf numFmtId="196" fontId="178" fillId="65" borderId="247" xfId="0" applyNumberFormat="1" applyFont="1" applyFill="1" applyBorder="1" applyAlignment="1">
      <alignment horizontal="center" wrapText="1"/>
    </xf>
    <xf numFmtId="38" fontId="43" fillId="7" borderId="45" xfId="26" applyFont="1" applyFill="1" applyBorder="1" applyAlignment="1">
      <alignment vertical="center"/>
    </xf>
    <xf numFmtId="38" fontId="195" fillId="7" borderId="3" xfId="26" applyFont="1" applyFill="1" applyBorder="1" applyAlignment="1">
      <alignment vertical="center"/>
    </xf>
    <xf numFmtId="38" fontId="43" fillId="7" borderId="143" xfId="26" applyFont="1" applyFill="1" applyBorder="1" applyAlignment="1">
      <alignment horizontal="center" vertical="center" wrapText="1"/>
    </xf>
    <xf numFmtId="38" fontId="163" fillId="7" borderId="243" xfId="26" applyFont="1" applyFill="1" applyBorder="1" applyAlignment="1">
      <alignment vertical="center"/>
    </xf>
    <xf numFmtId="38" fontId="195" fillId="7" borderId="44" xfId="26" applyFont="1" applyFill="1" applyBorder="1" applyAlignment="1">
      <alignment horizontal="center" vertical="center"/>
    </xf>
    <xf numFmtId="38" fontId="195" fillId="7" borderId="44" xfId="26" applyFont="1" applyFill="1" applyBorder="1" applyAlignment="1">
      <alignment vertical="center"/>
    </xf>
    <xf numFmtId="38" fontId="195" fillId="7" borderId="53" xfId="26" applyFont="1" applyFill="1" applyBorder="1" applyAlignment="1">
      <alignment vertical="center"/>
    </xf>
    <xf numFmtId="38" fontId="195" fillId="7" borderId="65" xfId="26" applyFont="1" applyFill="1" applyBorder="1" applyAlignment="1">
      <alignment vertical="center"/>
    </xf>
    <xf numFmtId="179" fontId="195" fillId="7" borderId="11" xfId="26" applyNumberFormat="1" applyFont="1" applyFill="1" applyBorder="1" applyAlignment="1">
      <alignment horizontal="right" vertical="center"/>
    </xf>
    <xf numFmtId="38" fontId="163" fillId="7" borderId="0" xfId="26" applyFont="1" applyFill="1" applyBorder="1" applyAlignment="1">
      <alignment vertical="center"/>
    </xf>
    <xf numFmtId="179" fontId="163" fillId="7" borderId="0" xfId="26" applyNumberFormat="1" applyFont="1" applyFill="1" applyBorder="1" applyAlignment="1">
      <alignment horizontal="right" vertical="center"/>
    </xf>
    <xf numFmtId="38" fontId="195" fillId="7" borderId="16" xfId="26" applyFont="1" applyFill="1" applyBorder="1" applyAlignment="1">
      <alignment horizontal="center" vertical="center"/>
    </xf>
    <xf numFmtId="38" fontId="195" fillId="7" borderId="16" xfId="26" applyFont="1" applyFill="1" applyBorder="1" applyAlignment="1">
      <alignment vertical="center"/>
    </xf>
    <xf numFmtId="38" fontId="195" fillId="7" borderId="9" xfId="26" applyFont="1" applyFill="1" applyBorder="1" applyAlignment="1">
      <alignment vertical="center"/>
    </xf>
    <xf numFmtId="38" fontId="195" fillId="7" borderId="66" xfId="26" applyFont="1" applyFill="1" applyBorder="1" applyAlignment="1">
      <alignment vertical="center"/>
    </xf>
    <xf numFmtId="179" fontId="195" fillId="7" borderId="10" xfId="26" applyNumberFormat="1" applyFont="1" applyFill="1" applyBorder="1" applyAlignment="1">
      <alignment horizontal="right" vertical="center"/>
    </xf>
    <xf numFmtId="38" fontId="195" fillId="7" borderId="80" xfId="26" applyFont="1" applyFill="1" applyBorder="1" applyAlignment="1">
      <alignment horizontal="left" vertical="center"/>
    </xf>
    <xf numFmtId="176" fontId="195" fillId="7" borderId="80" xfId="26" applyNumberFormat="1" applyFont="1" applyFill="1" applyBorder="1" applyAlignment="1">
      <alignment vertical="center"/>
    </xf>
    <xf numFmtId="176" fontId="195" fillId="7" borderId="59" xfId="26" applyNumberFormat="1" applyFont="1" applyFill="1" applyBorder="1" applyAlignment="1">
      <alignment vertical="center"/>
    </xf>
    <xf numFmtId="176" fontId="195" fillId="7" borderId="53" xfId="26" applyNumberFormat="1" applyFont="1" applyFill="1" applyBorder="1" applyAlignment="1">
      <alignment vertical="center"/>
    </xf>
    <xf numFmtId="176" fontId="195" fillId="7" borderId="117" xfId="26" applyNumberFormat="1" applyFont="1" applyFill="1" applyBorder="1" applyAlignment="1">
      <alignment vertical="center"/>
    </xf>
    <xf numFmtId="179" fontId="195" fillId="7" borderId="88" xfId="26" applyNumberFormat="1" applyFont="1" applyFill="1" applyBorder="1" applyAlignment="1">
      <alignment horizontal="right" vertical="center"/>
    </xf>
    <xf numFmtId="38" fontId="163" fillId="7" borderId="243" xfId="26" applyFont="1" applyFill="1" applyBorder="1" applyAlignment="1">
      <alignment horizontal="right" vertical="center"/>
    </xf>
    <xf numFmtId="178" fontId="195" fillId="7" borderId="44" xfId="26" applyNumberFormat="1" applyFont="1" applyFill="1" applyBorder="1" applyAlignment="1">
      <alignment horizontal="right" vertical="center"/>
    </xf>
    <xf numFmtId="178" fontId="195" fillId="7" borderId="44" xfId="26" applyNumberFormat="1" applyFont="1" applyFill="1" applyBorder="1" applyAlignment="1">
      <alignment vertical="center"/>
    </xf>
    <xf numFmtId="178" fontId="195" fillId="7" borderId="53" xfId="26" applyNumberFormat="1" applyFont="1" applyFill="1" applyBorder="1" applyAlignment="1">
      <alignment vertical="center"/>
    </xf>
    <xf numFmtId="178" fontId="195" fillId="7" borderId="65" xfId="26" applyNumberFormat="1" applyFont="1" applyFill="1" applyBorder="1" applyAlignment="1">
      <alignment vertical="center"/>
    </xf>
    <xf numFmtId="178" fontId="195" fillId="7" borderId="16" xfId="26" applyNumberFormat="1" applyFont="1" applyFill="1" applyBorder="1" applyAlignment="1">
      <alignment horizontal="right" vertical="center"/>
    </xf>
    <xf numFmtId="178" fontId="195" fillId="7" borderId="16" xfId="26" applyNumberFormat="1" applyFont="1" applyFill="1" applyBorder="1" applyAlignment="1">
      <alignment vertical="center"/>
    </xf>
    <xf numFmtId="178" fontId="195" fillId="7" borderId="9" xfId="26" applyNumberFormat="1" applyFont="1" applyFill="1" applyBorder="1" applyAlignment="1">
      <alignment vertical="center"/>
    </xf>
    <xf numFmtId="178" fontId="195" fillId="7" borderId="66" xfId="26" applyNumberFormat="1" applyFont="1" applyFill="1" applyBorder="1" applyAlignment="1">
      <alignment vertical="center"/>
    </xf>
    <xf numFmtId="179" fontId="195" fillId="7" borderId="80" xfId="26" applyNumberFormat="1" applyFont="1" applyFill="1" applyBorder="1" applyAlignment="1">
      <alignment horizontal="right" vertical="center"/>
    </xf>
    <xf numFmtId="179" fontId="195" fillId="7" borderId="80" xfId="26" applyNumberFormat="1" applyFont="1" applyFill="1" applyBorder="1" applyAlignment="1">
      <alignment vertical="center"/>
    </xf>
    <xf numFmtId="179" fontId="195" fillId="7" borderId="59" xfId="26" applyNumberFormat="1" applyFont="1" applyFill="1" applyBorder="1" applyAlignment="1">
      <alignment vertical="center"/>
    </xf>
    <xf numFmtId="179" fontId="195" fillId="7" borderId="7" xfId="26" applyNumberFormat="1" applyFont="1" applyFill="1" applyBorder="1" applyAlignment="1">
      <alignment vertical="center"/>
    </xf>
    <xf numFmtId="179" fontId="195" fillId="7" borderId="117" xfId="26" applyNumberFormat="1" applyFont="1" applyFill="1" applyBorder="1" applyAlignment="1">
      <alignment vertical="center"/>
    </xf>
    <xf numFmtId="38" fontId="195" fillId="7" borderId="44" xfId="26" applyFont="1" applyFill="1" applyBorder="1" applyAlignment="1">
      <alignment horizontal="right" vertical="center"/>
    </xf>
    <xf numFmtId="38" fontId="195" fillId="7" borderId="53" xfId="26" applyFont="1" applyFill="1" applyBorder="1" applyAlignment="1">
      <alignment horizontal="right" vertical="center"/>
    </xf>
    <xf numFmtId="38" fontId="195" fillId="7" borderId="65" xfId="26" applyFont="1" applyFill="1" applyBorder="1" applyAlignment="1">
      <alignment horizontal="right" vertical="center"/>
    </xf>
    <xf numFmtId="38" fontId="163" fillId="7" borderId="0" xfId="26" applyFont="1" applyFill="1" applyBorder="1" applyAlignment="1">
      <alignment horizontal="right" vertical="center"/>
    </xf>
    <xf numFmtId="38" fontId="195" fillId="7" borderId="16" xfId="26" applyFont="1" applyFill="1" applyBorder="1" applyAlignment="1">
      <alignment horizontal="right" vertical="center"/>
    </xf>
    <xf numFmtId="38" fontId="195" fillId="7" borderId="9" xfId="26" applyFont="1" applyFill="1" applyBorder="1" applyAlignment="1">
      <alignment horizontal="right" vertical="center"/>
    </xf>
    <xf numFmtId="38" fontId="195" fillId="7" borderId="66" xfId="26" applyFont="1" applyFill="1" applyBorder="1" applyAlignment="1">
      <alignment horizontal="right" vertical="center"/>
    </xf>
    <xf numFmtId="176" fontId="195" fillId="7" borderId="80" xfId="26" applyNumberFormat="1" applyFont="1" applyFill="1" applyBorder="1" applyAlignment="1">
      <alignment horizontal="right" vertical="center"/>
    </xf>
    <xf numFmtId="176" fontId="195" fillId="7" borderId="7" xfId="26" applyNumberFormat="1" applyFont="1" applyFill="1" applyBorder="1" applyAlignment="1">
      <alignment vertical="center"/>
    </xf>
    <xf numFmtId="176" fontId="195" fillId="7" borderId="122" xfId="26" applyNumberFormat="1" applyFont="1" applyFill="1" applyBorder="1" applyAlignment="1">
      <alignment vertical="center"/>
    </xf>
    <xf numFmtId="179" fontId="195" fillId="7" borderId="116" xfId="26" applyNumberFormat="1" applyFont="1" applyFill="1" applyBorder="1" applyAlignment="1">
      <alignment horizontal="right" vertical="center"/>
    </xf>
    <xf numFmtId="176" fontId="195" fillId="7" borderId="9" xfId="26" applyNumberFormat="1" applyFont="1" applyFill="1" applyBorder="1" applyAlignment="1">
      <alignment vertical="center"/>
    </xf>
    <xf numFmtId="38" fontId="43" fillId="0" borderId="0" xfId="26" applyFont="1" applyFill="1" applyAlignment="1">
      <alignment vertical="center"/>
    </xf>
    <xf numFmtId="38" fontId="170" fillId="7" borderId="0" xfId="26" applyFont="1" applyFill="1" applyBorder="1" applyAlignment="1">
      <alignment horizontal="left" vertical="center" shrinkToFit="1"/>
    </xf>
    <xf numFmtId="38" fontId="170" fillId="7" borderId="0" xfId="26" applyFont="1" applyFill="1" applyBorder="1" applyAlignment="1">
      <alignment horizontal="left" vertical="center"/>
    </xf>
    <xf numFmtId="0" fontId="43" fillId="7" borderId="0" xfId="0" applyFont="1" applyFill="1" applyAlignment="1">
      <alignment horizontal="left" vertical="center"/>
    </xf>
    <xf numFmtId="176" fontId="163" fillId="7" borderId="0" xfId="26" applyNumberFormat="1" applyFont="1" applyFill="1" applyBorder="1" applyAlignment="1">
      <alignment horizontal="right" vertical="center"/>
    </xf>
    <xf numFmtId="38" fontId="43" fillId="0" borderId="0" xfId="26" applyFont="1" applyFill="1" applyBorder="1" applyAlignment="1">
      <alignment vertical="center"/>
    </xf>
    <xf numFmtId="38" fontId="195" fillId="0" borderId="0" xfId="26" applyFont="1" applyFill="1" applyBorder="1" applyAlignment="1">
      <alignment horizontal="center" vertical="center" shrinkToFit="1"/>
    </xf>
    <xf numFmtId="38" fontId="195" fillId="0" borderId="0" xfId="26" applyFont="1" applyFill="1" applyBorder="1" applyAlignment="1">
      <alignment horizontal="left" vertical="center"/>
    </xf>
    <xf numFmtId="176" fontId="195" fillId="0" borderId="0" xfId="26" applyNumberFormat="1" applyFont="1" applyFill="1" applyBorder="1" applyAlignment="1">
      <alignment horizontal="right" vertical="center"/>
    </xf>
    <xf numFmtId="176" fontId="195" fillId="0" borderId="0" xfId="26" applyNumberFormat="1" applyFont="1" applyFill="1" applyBorder="1" applyAlignment="1">
      <alignment vertical="center"/>
    </xf>
    <xf numFmtId="179" fontId="195" fillId="0" borderId="0" xfId="26" applyNumberFormat="1" applyFont="1" applyFill="1" applyBorder="1" applyAlignment="1">
      <alignment horizontal="right" vertical="center"/>
    </xf>
    <xf numFmtId="38" fontId="43" fillId="0" borderId="0" xfId="26" applyFont="1" applyFill="1"/>
    <xf numFmtId="38" fontId="166" fillId="7" borderId="0" xfId="26" applyFont="1" applyFill="1" applyBorder="1" applyAlignment="1">
      <alignment vertical="center"/>
    </xf>
    <xf numFmtId="38" fontId="43" fillId="7" borderId="0" xfId="26" applyFont="1" applyFill="1" applyBorder="1" applyAlignment="1">
      <alignment horizontal="right" vertical="center"/>
    </xf>
    <xf numFmtId="0" fontId="195" fillId="7" borderId="0" xfId="0" applyFont="1" applyFill="1" applyAlignment="1">
      <alignment horizontal="center" vertical="center" shrinkToFit="1"/>
    </xf>
    <xf numFmtId="38" fontId="195" fillId="7" borderId="0" xfId="26" applyFont="1" applyFill="1" applyBorder="1" applyAlignment="1">
      <alignment horizontal="left" vertical="center"/>
    </xf>
    <xf numFmtId="176" fontId="195" fillId="7" borderId="0" xfId="26" applyNumberFormat="1" applyFont="1" applyFill="1" applyBorder="1" applyAlignment="1">
      <alignment vertical="center"/>
    </xf>
    <xf numFmtId="179" fontId="195" fillId="7" borderId="0" xfId="26" applyNumberFormat="1" applyFont="1" applyFill="1" applyBorder="1" applyAlignment="1">
      <alignment horizontal="right" vertical="center"/>
    </xf>
    <xf numFmtId="49" fontId="195" fillId="7" borderId="19" xfId="26" applyNumberFormat="1" applyFont="1" applyFill="1" applyBorder="1" applyAlignment="1">
      <alignment horizontal="center" vertical="center" wrapText="1"/>
    </xf>
    <xf numFmtId="49" fontId="195" fillId="7" borderId="164" xfId="26" applyNumberFormat="1" applyFont="1" applyFill="1" applyBorder="1" applyAlignment="1">
      <alignment horizontal="center" vertical="center" wrapText="1"/>
    </xf>
    <xf numFmtId="38" fontId="195" fillId="7" borderId="149" xfId="26" applyFont="1" applyFill="1" applyBorder="1" applyAlignment="1">
      <alignment horizontal="center" vertical="center"/>
    </xf>
    <xf numFmtId="38" fontId="195" fillId="7" borderId="80" xfId="26" applyFont="1" applyFill="1" applyBorder="1" applyAlignment="1">
      <alignment horizontal="left" vertical="center" wrapText="1"/>
    </xf>
    <xf numFmtId="179" fontId="195" fillId="7" borderId="117" xfId="26" applyNumberFormat="1" applyFont="1" applyFill="1" applyBorder="1" applyAlignment="1">
      <alignment horizontal="right" vertical="center"/>
    </xf>
    <xf numFmtId="178" fontId="195" fillId="7" borderId="65" xfId="26" applyNumberFormat="1" applyFont="1" applyFill="1" applyBorder="1" applyAlignment="1">
      <alignment horizontal="right" vertical="center"/>
    </xf>
    <xf numFmtId="178" fontId="195" fillId="7" borderId="66" xfId="26" applyNumberFormat="1" applyFont="1" applyFill="1" applyBorder="1" applyAlignment="1">
      <alignment horizontal="right" vertical="center"/>
    </xf>
    <xf numFmtId="179" fontId="195" fillId="7" borderId="122" xfId="26" applyNumberFormat="1" applyFont="1" applyFill="1" applyBorder="1" applyAlignment="1">
      <alignment horizontal="right" vertical="center"/>
    </xf>
    <xf numFmtId="38" fontId="196" fillId="7" borderId="0" xfId="26" applyFont="1" applyFill="1"/>
    <xf numFmtId="38" fontId="43" fillId="7" borderId="0" xfId="26" applyFont="1" applyFill="1" applyAlignment="1">
      <alignment horizontal="right"/>
    </xf>
    <xf numFmtId="0" fontId="197" fillId="7" borderId="6" xfId="59" applyFont="1" applyFill="1" applyBorder="1" applyAlignment="1">
      <alignment wrapText="1"/>
    </xf>
    <xf numFmtId="0" fontId="196" fillId="7" borderId="0" xfId="59" applyFont="1" applyFill="1"/>
    <xf numFmtId="0" fontId="43" fillId="70" borderId="0" xfId="0" applyFont="1" applyFill="1" applyAlignment="1">
      <alignment horizontal="left" vertical="center"/>
    </xf>
    <xf numFmtId="0" fontId="43" fillId="70" borderId="0" xfId="0" applyFont="1" applyFill="1" applyAlignment="1">
      <alignment horizontal="center" vertical="center"/>
    </xf>
    <xf numFmtId="0" fontId="43" fillId="66" borderId="0" xfId="0" applyFont="1" applyFill="1" applyAlignment="1">
      <alignment horizontal="left" vertical="center"/>
    </xf>
    <xf numFmtId="0" fontId="43" fillId="66" borderId="0" xfId="0" applyFont="1" applyFill="1" applyAlignment="1">
      <alignment horizontal="center" vertical="center"/>
    </xf>
    <xf numFmtId="0" fontId="43" fillId="7" borderId="0" xfId="0" applyFont="1" applyFill="1" applyAlignment="1">
      <alignment horizontal="left" vertical="center" wrapText="1"/>
    </xf>
    <xf numFmtId="0" fontId="43" fillId="70" borderId="15" xfId="0" applyFont="1" applyFill="1" applyBorder="1" applyAlignment="1">
      <alignment horizontal="left" vertical="center" wrapText="1"/>
    </xf>
    <xf numFmtId="0" fontId="43" fillId="70" borderId="15" xfId="0" applyFont="1" applyFill="1" applyBorder="1" applyAlignment="1">
      <alignment horizontal="center" vertical="center"/>
    </xf>
    <xf numFmtId="0" fontId="163" fillId="7" borderId="0" xfId="59" applyFont="1" applyFill="1" applyAlignment="1">
      <alignment vertical="center"/>
    </xf>
    <xf numFmtId="180" fontId="200" fillId="7" borderId="0" xfId="59" applyNumberFormat="1" applyFont="1" applyFill="1" applyAlignment="1">
      <alignment vertical="center"/>
    </xf>
    <xf numFmtId="0" fontId="44" fillId="7" borderId="0" xfId="0" applyFont="1" applyFill="1" applyAlignment="1">
      <alignment horizontal="right" vertical="center"/>
    </xf>
    <xf numFmtId="0" fontId="163" fillId="7" borderId="0" xfId="0" applyFont="1" applyFill="1" applyAlignment="1">
      <alignment vertical="center"/>
    </xf>
    <xf numFmtId="0" fontId="43" fillId="7" borderId="3" xfId="0" applyFont="1" applyFill="1" applyBorder="1" applyAlignment="1">
      <alignment horizontal="center" vertical="center" wrapText="1"/>
    </xf>
    <xf numFmtId="0" fontId="43" fillId="7" borderId="254" xfId="0" applyFont="1" applyFill="1" applyBorder="1" applyAlignment="1">
      <alignment horizontal="center" vertical="center" wrapText="1"/>
    </xf>
    <xf numFmtId="177" fontId="43" fillId="7" borderId="3" xfId="0" applyNumberFormat="1" applyFont="1" applyFill="1" applyBorder="1" applyAlignment="1">
      <alignment horizontal="right" vertical="center"/>
    </xf>
    <xf numFmtId="49" fontId="43" fillId="7" borderId="0" xfId="18" quotePrefix="1" applyNumberFormat="1" applyFont="1" applyFill="1" applyAlignment="1">
      <alignment horizontal="center" vertical="center"/>
    </xf>
    <xf numFmtId="9" fontId="43" fillId="7" borderId="0" xfId="18" applyFont="1" applyFill="1" applyAlignment="1">
      <alignment horizontal="left" vertical="center"/>
    </xf>
    <xf numFmtId="0" fontId="43" fillId="7" borderId="0" xfId="18" applyNumberFormat="1" applyFont="1" applyFill="1" applyAlignment="1">
      <alignment horizontal="left" vertical="center"/>
    </xf>
    <xf numFmtId="177" fontId="163" fillId="7" borderId="0" xfId="0" applyNumberFormat="1" applyFont="1" applyFill="1" applyAlignment="1">
      <alignment vertical="center"/>
    </xf>
    <xf numFmtId="186" fontId="163" fillId="7" borderId="0" xfId="0" applyNumberFormat="1" applyFont="1" applyFill="1" applyAlignment="1">
      <alignment vertical="center"/>
    </xf>
    <xf numFmtId="0" fontId="195" fillId="7" borderId="0" xfId="0" applyFont="1" applyFill="1" applyAlignment="1">
      <alignment horizontal="center" vertical="center"/>
    </xf>
    <xf numFmtId="38" fontId="163" fillId="7" borderId="0" xfId="26" applyFont="1" applyFill="1" applyBorder="1" applyAlignment="1">
      <alignment horizontal="center" vertical="center"/>
    </xf>
    <xf numFmtId="0" fontId="43" fillId="7" borderId="242" xfId="59" applyFont="1" applyFill="1" applyBorder="1" applyAlignment="1">
      <alignment horizontal="right"/>
    </xf>
    <xf numFmtId="0" fontId="43" fillId="7" borderId="9" xfId="0" applyFont="1" applyFill="1" applyBorder="1" applyAlignment="1">
      <alignment horizontal="center" vertical="center"/>
    </xf>
    <xf numFmtId="0" fontId="43" fillId="7" borderId="15" xfId="0" applyFont="1" applyFill="1" applyBorder="1" applyAlignment="1">
      <alignment horizontal="left" vertical="center"/>
    </xf>
    <xf numFmtId="0" fontId="202" fillId="7" borderId="0" xfId="0" applyFont="1" applyFill="1" applyAlignment="1">
      <alignment horizontal="left" vertical="center"/>
    </xf>
    <xf numFmtId="0" fontId="44" fillId="7" borderId="0" xfId="0" applyFont="1" applyFill="1" applyAlignment="1">
      <alignment vertical="center"/>
    </xf>
    <xf numFmtId="0" fontId="184" fillId="7" borderId="0" xfId="0" applyFont="1" applyFill="1" applyAlignment="1">
      <alignment vertical="center"/>
    </xf>
    <xf numFmtId="3" fontId="169" fillId="7" borderId="45" xfId="0" applyNumberFormat="1" applyFont="1" applyFill="1" applyBorder="1" applyAlignment="1">
      <alignment horizontal="right" vertical="center"/>
    </xf>
    <xf numFmtId="0" fontId="169" fillId="7" borderId="45" xfId="0" applyFont="1" applyFill="1" applyBorder="1" applyAlignment="1">
      <alignment horizontal="right" vertical="center"/>
    </xf>
    <xf numFmtId="0" fontId="169" fillId="68" borderId="272" xfId="0" applyFont="1" applyFill="1" applyBorder="1" applyAlignment="1">
      <alignment horizontal="center" vertical="center" wrapText="1"/>
    </xf>
    <xf numFmtId="49" fontId="169" fillId="68" borderId="276" xfId="0" applyNumberFormat="1" applyFont="1" applyFill="1" applyBorder="1" applyAlignment="1">
      <alignment horizontal="center" vertical="center"/>
    </xf>
    <xf numFmtId="38" fontId="169" fillId="68" borderId="272" xfId="26" applyFont="1" applyFill="1" applyBorder="1" applyAlignment="1">
      <alignment vertical="center"/>
    </xf>
    <xf numFmtId="38" fontId="169" fillId="68" borderId="272" xfId="26" applyFont="1" applyFill="1" applyBorder="1" applyAlignment="1">
      <alignment horizontal="center" vertical="center"/>
    </xf>
    <xf numFmtId="186" fontId="169" fillId="68" borderId="277" xfId="18" applyNumberFormat="1" applyFont="1" applyFill="1" applyBorder="1" applyAlignment="1">
      <alignment horizontal="center" vertical="center"/>
    </xf>
    <xf numFmtId="0" fontId="163" fillId="66" borderId="272" xfId="0" applyFont="1" applyFill="1" applyBorder="1" applyAlignment="1">
      <alignment horizontal="center" vertical="center" wrapText="1"/>
    </xf>
    <xf numFmtId="38" fontId="163" fillId="66" borderId="272" xfId="26" applyFont="1" applyFill="1" applyBorder="1" applyAlignment="1">
      <alignment vertical="center"/>
    </xf>
    <xf numFmtId="38" fontId="163" fillId="66" borderId="272" xfId="26" applyFont="1" applyFill="1" applyBorder="1" applyAlignment="1">
      <alignment horizontal="center" vertical="center"/>
    </xf>
    <xf numFmtId="49" fontId="163" fillId="66" borderId="276" xfId="0" applyNumberFormat="1" applyFont="1" applyFill="1" applyBorder="1" applyAlignment="1">
      <alignment horizontal="center" vertical="center"/>
    </xf>
    <xf numFmtId="186" fontId="163" fillId="66" borderId="277" xfId="18" applyNumberFormat="1" applyFont="1" applyFill="1" applyBorder="1" applyAlignment="1">
      <alignment horizontal="center" vertical="center"/>
    </xf>
    <xf numFmtId="0" fontId="188" fillId="65" borderId="274" xfId="0" applyFont="1" applyFill="1" applyBorder="1" applyAlignment="1">
      <alignment horizontal="center" vertical="center" wrapText="1"/>
    </xf>
    <xf numFmtId="0" fontId="165" fillId="65" borderId="275" xfId="0" applyFont="1" applyFill="1" applyBorder="1" applyAlignment="1">
      <alignment horizontal="center" vertical="center" wrapText="1"/>
    </xf>
    <xf numFmtId="49" fontId="169" fillId="70" borderId="276" xfId="0" applyNumberFormat="1" applyFont="1" applyFill="1" applyBorder="1" applyAlignment="1">
      <alignment horizontal="center" vertical="center"/>
    </xf>
    <xf numFmtId="0" fontId="169" fillId="70" borderId="272" xfId="0" applyFont="1" applyFill="1" applyBorder="1" applyAlignment="1">
      <alignment horizontal="center" vertical="center" wrapText="1"/>
    </xf>
    <xf numFmtId="38" fontId="169" fillId="70" borderId="272" xfId="26" applyFont="1" applyFill="1" applyBorder="1" applyAlignment="1">
      <alignment horizontal="right" vertical="center" wrapText="1"/>
    </xf>
    <xf numFmtId="38" fontId="169" fillId="70" borderId="272" xfId="26" applyFont="1" applyFill="1" applyBorder="1" applyAlignment="1">
      <alignment horizontal="center" vertical="center"/>
    </xf>
    <xf numFmtId="186" fontId="169" fillId="70" borderId="277" xfId="18" applyNumberFormat="1" applyFont="1" applyFill="1" applyBorder="1" applyAlignment="1">
      <alignment horizontal="center" vertical="center"/>
    </xf>
    <xf numFmtId="49" fontId="163" fillId="67" borderId="276" xfId="0" applyNumberFormat="1" applyFont="1" applyFill="1" applyBorder="1" applyAlignment="1">
      <alignment horizontal="center" vertical="center"/>
    </xf>
    <xf numFmtId="0" fontId="163" fillId="67" borderId="272" xfId="0" applyFont="1" applyFill="1" applyBorder="1" applyAlignment="1">
      <alignment horizontal="center" vertical="center" wrapText="1"/>
    </xf>
    <xf numFmtId="38" fontId="163" fillId="67" borderId="272" xfId="26" applyFont="1" applyFill="1" applyBorder="1" applyAlignment="1">
      <alignment vertical="center"/>
    </xf>
    <xf numFmtId="38" fontId="163" fillId="67" borderId="272" xfId="26" applyFont="1" applyFill="1" applyBorder="1" applyAlignment="1">
      <alignment horizontal="center" vertical="center"/>
    </xf>
    <xf numFmtId="186" fontId="163" fillId="67" borderId="277" xfId="18" applyNumberFormat="1" applyFont="1" applyFill="1" applyBorder="1" applyAlignment="1">
      <alignment horizontal="center" vertical="center"/>
    </xf>
    <xf numFmtId="0" fontId="207" fillId="7" borderId="0" xfId="59" applyFont="1" applyFill="1" applyAlignment="1">
      <alignment vertical="center"/>
    </xf>
    <xf numFmtId="196" fontId="43" fillId="7" borderId="114" xfId="0" applyNumberFormat="1" applyFont="1" applyFill="1" applyBorder="1" applyAlignment="1">
      <alignment horizontal="centerContinuous" wrapText="1"/>
    </xf>
    <xf numFmtId="180" fontId="166" fillId="7" borderId="203" xfId="0" applyNumberFormat="1" applyFont="1" applyFill="1" applyBorder="1" applyAlignment="1">
      <alignment horizontal="center" wrapText="1" shrinkToFit="1"/>
    </xf>
    <xf numFmtId="38" fontId="43" fillId="7" borderId="40" xfId="26" applyFont="1" applyFill="1" applyBorder="1"/>
    <xf numFmtId="38" fontId="43" fillId="7" borderId="196" xfId="26" applyFont="1" applyFill="1" applyBorder="1" applyAlignment="1"/>
    <xf numFmtId="184" fontId="43" fillId="7" borderId="74" xfId="26" applyNumberFormat="1" applyFont="1" applyFill="1" applyBorder="1"/>
    <xf numFmtId="0" fontId="43" fillId="7" borderId="38" xfId="59" applyFont="1" applyFill="1" applyBorder="1" applyAlignment="1">
      <alignment horizontal="right" vertical="center" wrapText="1"/>
    </xf>
    <xf numFmtId="0" fontId="44" fillId="7" borderId="38" xfId="59" applyFont="1" applyFill="1" applyBorder="1" applyAlignment="1">
      <alignment horizontal="center" vertical="center" wrapText="1"/>
    </xf>
    <xf numFmtId="198" fontId="43" fillId="7" borderId="38" xfId="26" applyNumberFormat="1" applyFont="1" applyFill="1" applyBorder="1"/>
    <xf numFmtId="198" fontId="43" fillId="7" borderId="195" xfId="26" applyNumberFormat="1" applyFont="1" applyFill="1" applyBorder="1"/>
    <xf numFmtId="198" fontId="43" fillId="7" borderId="89" xfId="26" applyNumberFormat="1" applyFont="1" applyFill="1" applyBorder="1"/>
    <xf numFmtId="0" fontId="44" fillId="7" borderId="0" xfId="0" applyFont="1" applyFill="1" applyAlignment="1">
      <alignment horizontal="right" vertical="center" shrinkToFit="1"/>
    </xf>
    <xf numFmtId="197" fontId="44" fillId="7" borderId="0" xfId="26" applyNumberFormat="1" applyFont="1" applyFill="1" applyBorder="1" applyAlignment="1">
      <alignment horizontal="right" vertical="center"/>
    </xf>
    <xf numFmtId="198" fontId="43" fillId="7" borderId="0" xfId="26" applyNumberFormat="1" applyFont="1" applyFill="1" applyBorder="1" applyAlignment="1">
      <alignment horizontal="right" vertical="center"/>
    </xf>
    <xf numFmtId="0" fontId="43" fillId="7" borderId="0" xfId="59" applyFont="1" applyFill="1" applyAlignment="1">
      <alignment horizontal="right" vertical="center" wrapText="1"/>
    </xf>
    <xf numFmtId="198" fontId="43" fillId="7" borderId="0" xfId="26" applyNumberFormat="1" applyFont="1" applyFill="1" applyBorder="1"/>
    <xf numFmtId="198" fontId="43" fillId="7" borderId="0" xfId="26" applyNumberFormat="1" applyFont="1" applyFill="1" applyBorder="1" applyAlignment="1">
      <alignment horizontal="right"/>
    </xf>
    <xf numFmtId="0" fontId="181" fillId="7" borderId="0" xfId="22" applyFont="1" applyFill="1" applyAlignment="1" applyProtection="1"/>
    <xf numFmtId="0" fontId="43" fillId="7" borderId="5" xfId="59" applyFont="1" applyFill="1" applyBorder="1"/>
    <xf numFmtId="0" fontId="181" fillId="7" borderId="2" xfId="22" applyFont="1" applyFill="1" applyBorder="1" applyAlignment="1" applyProtection="1"/>
    <xf numFmtId="0" fontId="43" fillId="7" borderId="2" xfId="59" applyFont="1" applyFill="1" applyBorder="1"/>
    <xf numFmtId="0" fontId="43" fillId="7" borderId="111" xfId="59" applyFont="1" applyFill="1" applyBorder="1"/>
    <xf numFmtId="38" fontId="44" fillId="66" borderId="0" xfId="26" applyFont="1" applyFill="1" applyBorder="1" applyAlignment="1">
      <alignment horizontal="right" vertical="center"/>
    </xf>
    <xf numFmtId="38" fontId="44" fillId="7" borderId="0" xfId="26" applyFont="1" applyFill="1" applyBorder="1" applyAlignment="1">
      <alignment horizontal="right" vertical="center"/>
    </xf>
    <xf numFmtId="179" fontId="43" fillId="7" borderId="63" xfId="26" applyNumberFormat="1" applyFont="1" applyFill="1" applyBorder="1"/>
    <xf numFmtId="184" fontId="43" fillId="7" borderId="93" xfId="0" applyNumberFormat="1" applyFont="1" applyFill="1" applyBorder="1"/>
    <xf numFmtId="179" fontId="43" fillId="7" borderId="66" xfId="26" applyNumberFormat="1" applyFont="1" applyFill="1" applyBorder="1"/>
    <xf numFmtId="179" fontId="43" fillId="7" borderId="122" xfId="26" applyNumberFormat="1" applyFont="1" applyFill="1" applyBorder="1"/>
    <xf numFmtId="184" fontId="43" fillId="7" borderId="116" xfId="0" applyNumberFormat="1" applyFont="1" applyFill="1" applyBorder="1" applyAlignment="1">
      <alignment horizontal="right"/>
    </xf>
    <xf numFmtId="38" fontId="43" fillId="7" borderId="3" xfId="59" applyNumberFormat="1" applyFont="1" applyFill="1" applyBorder="1"/>
    <xf numFmtId="0" fontId="43" fillId="7" borderId="3" xfId="59" applyFont="1" applyFill="1" applyBorder="1" applyAlignment="1">
      <alignment wrapText="1"/>
    </xf>
    <xf numFmtId="176" fontId="43" fillId="7" borderId="3" xfId="59" applyNumberFormat="1" applyFont="1" applyFill="1" applyBorder="1"/>
    <xf numFmtId="0" fontId="171" fillId="7" borderId="0" xfId="59" applyFont="1" applyFill="1" applyAlignment="1">
      <alignment horizontal="right"/>
    </xf>
    <xf numFmtId="38" fontId="44" fillId="70" borderId="15" xfId="26" applyFont="1" applyFill="1" applyBorder="1" applyAlignment="1">
      <alignment horizontal="right" vertical="center"/>
    </xf>
    <xf numFmtId="0" fontId="178" fillId="69" borderId="251" xfId="0" applyFont="1" applyFill="1" applyBorder="1" applyAlignment="1">
      <alignment horizontal="center" vertical="center" wrapText="1"/>
    </xf>
    <xf numFmtId="0" fontId="178" fillId="69" borderId="256" xfId="0" applyFont="1" applyFill="1" applyBorder="1" applyAlignment="1">
      <alignment horizontal="center" vertical="center" wrapText="1"/>
    </xf>
    <xf numFmtId="38" fontId="44" fillId="66" borderId="0" xfId="26" applyFont="1" applyFill="1" applyBorder="1" applyAlignment="1">
      <alignment vertical="center"/>
    </xf>
    <xf numFmtId="184" fontId="43" fillId="7" borderId="0" xfId="59" applyNumberFormat="1" applyFont="1" applyFill="1"/>
    <xf numFmtId="38" fontId="44" fillId="7" borderId="0" xfId="26" applyFont="1" applyFill="1" applyBorder="1" applyAlignment="1">
      <alignment vertical="center"/>
    </xf>
    <xf numFmtId="184" fontId="44" fillId="7" borderId="0" xfId="26" applyNumberFormat="1" applyFont="1" applyFill="1" applyBorder="1" applyAlignment="1">
      <alignment horizontal="right" vertical="center"/>
    </xf>
    <xf numFmtId="3" fontId="44" fillId="7" borderId="258" xfId="59" applyNumberFormat="1" applyFont="1" applyFill="1" applyBorder="1" applyAlignment="1">
      <alignment vertical="center"/>
    </xf>
    <xf numFmtId="184" fontId="44" fillId="7" borderId="258" xfId="26" applyNumberFormat="1" applyFont="1" applyFill="1" applyBorder="1" applyAlignment="1">
      <alignment vertical="center"/>
    </xf>
    <xf numFmtId="186" fontId="44" fillId="7" borderId="258" xfId="26" applyNumberFormat="1" applyFont="1" applyFill="1" applyBorder="1" applyAlignment="1">
      <alignment horizontal="right" vertical="center"/>
    </xf>
    <xf numFmtId="0" fontId="43" fillId="7" borderId="45" xfId="59" applyFont="1" applyFill="1" applyBorder="1"/>
    <xf numFmtId="0" fontId="194" fillId="7" borderId="0" xfId="59" applyFont="1" applyFill="1"/>
    <xf numFmtId="0" fontId="178" fillId="65" borderId="256" xfId="0" applyFont="1" applyFill="1" applyBorder="1" applyAlignment="1">
      <alignment horizontal="center" vertical="center" wrapText="1"/>
    </xf>
    <xf numFmtId="0" fontId="43" fillId="7" borderId="0" xfId="0" applyFont="1" applyFill="1" applyAlignment="1">
      <alignment horizontal="center"/>
    </xf>
    <xf numFmtId="0" fontId="170" fillId="7" borderId="0" xfId="0" applyFont="1" applyFill="1" applyAlignment="1">
      <alignment vertical="center"/>
    </xf>
    <xf numFmtId="38" fontId="170" fillId="7" borderId="0" xfId="0" applyNumberFormat="1" applyFont="1" applyFill="1" applyAlignment="1">
      <alignment vertical="center"/>
    </xf>
    <xf numFmtId="0" fontId="170" fillId="7" borderId="0" xfId="0" applyFont="1" applyFill="1" applyAlignment="1">
      <alignment vertical="center" wrapText="1"/>
    </xf>
    <xf numFmtId="0" fontId="170" fillId="7" borderId="15" xfId="0" applyFont="1" applyFill="1" applyBorder="1" applyAlignment="1">
      <alignment vertical="center"/>
    </xf>
    <xf numFmtId="0" fontId="166" fillId="7" borderId="15" xfId="0" applyFont="1" applyFill="1" applyBorder="1" applyAlignment="1">
      <alignment horizontal="left" vertical="center" wrapText="1"/>
    </xf>
    <xf numFmtId="179" fontId="43" fillId="7" borderId="0" xfId="18" applyNumberFormat="1" applyFont="1" applyFill="1" applyBorder="1" applyAlignment="1"/>
    <xf numFmtId="0" fontId="170" fillId="7" borderId="15" xfId="0" applyFont="1" applyFill="1" applyBorder="1" applyAlignment="1">
      <alignment vertical="center" wrapText="1"/>
    </xf>
    <xf numFmtId="0" fontId="180" fillId="7" borderId="0" xfId="0" applyFont="1" applyFill="1" applyAlignment="1">
      <alignment vertical="center"/>
    </xf>
    <xf numFmtId="0" fontId="180" fillId="7" borderId="0" xfId="59" applyFont="1" applyFill="1" applyAlignment="1">
      <alignment vertical="center"/>
    </xf>
    <xf numFmtId="0" fontId="211" fillId="7" borderId="0" xfId="59" applyFont="1" applyFill="1" applyAlignment="1">
      <alignment vertical="center"/>
    </xf>
    <xf numFmtId="0" fontId="180" fillId="7" borderId="0" xfId="59" applyFont="1" applyFill="1"/>
    <xf numFmtId="0" fontId="186" fillId="7" borderId="281" xfId="0" applyFont="1" applyFill="1" applyBorder="1" applyAlignment="1">
      <alignment vertical="center" wrapText="1"/>
    </xf>
    <xf numFmtId="0" fontId="166" fillId="66" borderId="281" xfId="0" applyFont="1" applyFill="1" applyBorder="1" applyAlignment="1">
      <alignment horizontal="left" vertical="center" wrapText="1"/>
    </xf>
    <xf numFmtId="0" fontId="166" fillId="7" borderId="281" xfId="0" applyFont="1" applyFill="1" applyBorder="1" applyAlignment="1">
      <alignment vertical="center" wrapText="1"/>
    </xf>
    <xf numFmtId="0" fontId="166" fillId="7" borderId="282" xfId="0" applyFont="1" applyFill="1" applyBorder="1" applyAlignment="1">
      <alignment vertical="center" wrapText="1"/>
    </xf>
    <xf numFmtId="0" fontId="166" fillId="66" borderId="283" xfId="0" applyFont="1" applyFill="1" applyBorder="1" applyAlignment="1">
      <alignment horizontal="left" vertical="center" wrapText="1"/>
    </xf>
    <xf numFmtId="0" fontId="166" fillId="7" borderId="284" xfId="0" applyFont="1" applyFill="1" applyBorder="1" applyAlignment="1">
      <alignment vertical="center" wrapText="1"/>
    </xf>
    <xf numFmtId="0" fontId="166" fillId="7" borderId="281" xfId="0" applyFont="1" applyFill="1" applyBorder="1" applyAlignment="1">
      <alignment horizontal="left" vertical="center" wrapText="1"/>
    </xf>
    <xf numFmtId="0" fontId="166" fillId="66" borderId="284" xfId="0" applyFont="1" applyFill="1" applyBorder="1" applyAlignment="1">
      <alignment horizontal="left" vertical="center" wrapText="1"/>
    </xf>
    <xf numFmtId="0" fontId="210" fillId="65" borderId="256" xfId="0" applyFont="1" applyFill="1" applyBorder="1" applyAlignment="1">
      <alignment horizontal="center" vertical="center" wrapText="1"/>
    </xf>
    <xf numFmtId="38" fontId="44" fillId="66" borderId="280" xfId="26" applyFont="1" applyFill="1" applyBorder="1" applyAlignment="1">
      <alignment vertical="center"/>
    </xf>
    <xf numFmtId="38" fontId="44" fillId="66" borderId="280" xfId="0" applyNumberFormat="1" applyFont="1" applyFill="1" applyBorder="1" applyAlignment="1">
      <alignment vertical="center"/>
    </xf>
    <xf numFmtId="179" fontId="44" fillId="7" borderId="281" xfId="18" applyNumberFormat="1" applyFont="1" applyFill="1" applyBorder="1" applyAlignment="1">
      <alignment vertical="center"/>
    </xf>
    <xf numFmtId="38" fontId="44" fillId="66" borderId="281" xfId="26" applyFont="1" applyFill="1" applyBorder="1" applyAlignment="1">
      <alignment vertical="center"/>
    </xf>
    <xf numFmtId="38" fontId="44" fillId="66" borderId="281" xfId="26" applyFont="1" applyFill="1" applyBorder="1" applyAlignment="1">
      <alignment horizontal="right" vertical="center"/>
    </xf>
    <xf numFmtId="38" fontId="44" fillId="66" borderId="281" xfId="0" applyNumberFormat="1" applyFont="1" applyFill="1" applyBorder="1" applyAlignment="1">
      <alignment vertical="center"/>
    </xf>
    <xf numFmtId="179" fontId="44" fillId="7" borderId="282" xfId="18" applyNumberFormat="1" applyFont="1" applyFill="1" applyBorder="1" applyAlignment="1">
      <alignment horizontal="right" vertical="center"/>
    </xf>
    <xf numFmtId="38" fontId="44" fillId="7" borderId="15" xfId="26" applyFont="1" applyFill="1" applyBorder="1" applyAlignment="1">
      <alignment vertical="center"/>
    </xf>
    <xf numFmtId="38" fontId="44" fillId="7" borderId="15" xfId="0" applyNumberFormat="1" applyFont="1" applyFill="1" applyBorder="1" applyAlignment="1">
      <alignment vertical="center"/>
    </xf>
    <xf numFmtId="38" fontId="44" fillId="66" borderId="283" xfId="26" applyFont="1" applyFill="1" applyBorder="1" applyAlignment="1">
      <alignment vertical="center"/>
    </xf>
    <xf numFmtId="38" fontId="44" fillId="66" borderId="283" xfId="0" applyNumberFormat="1" applyFont="1" applyFill="1" applyBorder="1" applyAlignment="1">
      <alignment vertical="center"/>
    </xf>
    <xf numFmtId="38" fontId="44" fillId="66" borderId="281" xfId="26" applyFont="1" applyFill="1" applyBorder="1" applyAlignment="1">
      <alignment horizontal="right" vertical="center" wrapText="1"/>
    </xf>
    <xf numFmtId="179" fontId="44" fillId="7" borderId="284" xfId="18" applyNumberFormat="1" applyFont="1" applyFill="1" applyBorder="1" applyAlignment="1">
      <alignment horizontal="right" vertical="center"/>
    </xf>
    <xf numFmtId="179" fontId="44" fillId="66" borderId="283" xfId="18" applyNumberFormat="1" applyFont="1" applyFill="1" applyBorder="1" applyAlignment="1">
      <alignment vertical="center"/>
    </xf>
    <xf numFmtId="179" fontId="44" fillId="66" borderId="284" xfId="18" applyNumberFormat="1" applyFont="1" applyFill="1" applyBorder="1" applyAlignment="1">
      <alignment horizontal="right" vertical="center"/>
    </xf>
    <xf numFmtId="179" fontId="44" fillId="7" borderId="0" xfId="26" applyNumberFormat="1" applyFont="1" applyFill="1" applyBorder="1" applyAlignment="1">
      <alignment horizontal="right" vertical="center"/>
    </xf>
    <xf numFmtId="176" fontId="44" fillId="66" borderId="15" xfId="26" applyNumberFormat="1" applyFont="1" applyFill="1" applyBorder="1" applyAlignment="1">
      <alignment horizontal="right" vertical="center"/>
    </xf>
    <xf numFmtId="179" fontId="44" fillId="66" borderId="15" xfId="26" applyNumberFormat="1" applyFont="1" applyFill="1" applyBorder="1" applyAlignment="1">
      <alignment horizontal="right" vertical="center"/>
    </xf>
    <xf numFmtId="184" fontId="44" fillId="66" borderId="15" xfId="26" applyNumberFormat="1" applyFont="1" applyFill="1" applyBorder="1" applyAlignment="1">
      <alignment horizontal="right" vertical="center"/>
    </xf>
    <xf numFmtId="215" fontId="44" fillId="7" borderId="0" xfId="26" applyNumberFormat="1" applyFont="1" applyFill="1" applyBorder="1" applyAlignment="1">
      <alignment horizontal="right" vertical="center"/>
    </xf>
    <xf numFmtId="178" fontId="44" fillId="7" borderId="243" xfId="26" applyNumberFormat="1" applyFont="1" applyFill="1" applyBorder="1" applyAlignment="1">
      <alignment horizontal="right" vertical="center"/>
    </xf>
    <xf numFmtId="0" fontId="43" fillId="7" borderId="0" xfId="60" applyFont="1" applyFill="1" applyAlignment="1">
      <alignment vertical="center"/>
    </xf>
    <xf numFmtId="0" fontId="43" fillId="7" borderId="0" xfId="60" applyFont="1" applyFill="1" applyAlignment="1">
      <alignment horizontal="center" vertical="center"/>
    </xf>
    <xf numFmtId="0" fontId="43" fillId="7" borderId="0" xfId="60" applyFont="1" applyFill="1"/>
    <xf numFmtId="180" fontId="177" fillId="7" borderId="0" xfId="60" applyNumberFormat="1" applyFont="1" applyFill="1" applyAlignment="1">
      <alignment vertical="center"/>
    </xf>
    <xf numFmtId="0" fontId="163" fillId="7" borderId="0" xfId="60" applyFont="1" applyFill="1" applyAlignment="1">
      <alignment horizontal="right" vertical="center"/>
    </xf>
    <xf numFmtId="0" fontId="44" fillId="7" borderId="0" xfId="60" applyFont="1" applyFill="1" applyAlignment="1">
      <alignment horizontal="right" vertical="center"/>
    </xf>
    <xf numFmtId="0" fontId="43" fillId="7" borderId="0" xfId="60" applyFont="1" applyFill="1" applyAlignment="1">
      <alignment horizontal="right" vertical="center"/>
    </xf>
    <xf numFmtId="0" fontId="44" fillId="7" borderId="0" xfId="60" applyFont="1" applyFill="1" applyAlignment="1">
      <alignment horizontal="right"/>
    </xf>
    <xf numFmtId="0" fontId="163" fillId="7" borderId="0" xfId="60" applyFont="1" applyFill="1" applyAlignment="1">
      <alignment horizontal="right"/>
    </xf>
    <xf numFmtId="49" fontId="43" fillId="7" borderId="53" xfId="60" applyNumberFormat="1" applyFont="1" applyFill="1" applyBorder="1" applyAlignment="1">
      <alignment horizontal="center" vertical="center"/>
    </xf>
    <xf numFmtId="49" fontId="43" fillId="7" borderId="22" xfId="60" applyNumberFormat="1" applyFont="1" applyFill="1" applyBorder="1" applyAlignment="1">
      <alignment horizontal="center" vertical="center"/>
    </xf>
    <xf numFmtId="49" fontId="43" fillId="7" borderId="200" xfId="60" applyNumberFormat="1" applyFont="1" applyFill="1" applyBorder="1" applyAlignment="1">
      <alignment horizontal="center" vertical="center"/>
    </xf>
    <xf numFmtId="0" fontId="43" fillId="7" borderId="141" xfId="60" applyFont="1" applyFill="1" applyBorder="1" applyAlignment="1">
      <alignment horizontal="center" vertical="center" wrapText="1"/>
    </xf>
    <xf numFmtId="49" fontId="43" fillId="7" borderId="154" xfId="60" applyNumberFormat="1" applyFont="1" applyFill="1" applyBorder="1" applyAlignment="1">
      <alignment horizontal="center" vertical="center"/>
    </xf>
    <xf numFmtId="49" fontId="43" fillId="7" borderId="186" xfId="60" applyNumberFormat="1" applyFont="1" applyFill="1" applyBorder="1" applyAlignment="1">
      <alignment horizontal="center" vertical="center"/>
    </xf>
    <xf numFmtId="0" fontId="170" fillId="7" borderId="0" xfId="60" applyFont="1" applyFill="1" applyAlignment="1">
      <alignment vertical="center"/>
    </xf>
    <xf numFmtId="179" fontId="44" fillId="7" borderId="0" xfId="26" applyNumberFormat="1" applyFont="1" applyFill="1" applyBorder="1" applyAlignment="1">
      <alignment vertical="center"/>
    </xf>
    <xf numFmtId="0" fontId="43" fillId="7" borderId="22" xfId="60" applyFont="1" applyFill="1" applyBorder="1"/>
    <xf numFmtId="38" fontId="43" fillId="7" borderId="26" xfId="26" applyFont="1" applyFill="1" applyBorder="1"/>
    <xf numFmtId="38" fontId="43" fillId="7" borderId="65" xfId="26" applyFont="1" applyFill="1" applyBorder="1"/>
    <xf numFmtId="176" fontId="43" fillId="7" borderId="11" xfId="26" applyNumberFormat="1" applyFont="1" applyFill="1" applyBorder="1" applyAlignment="1">
      <alignment horizontal="right"/>
    </xf>
    <xf numFmtId="38" fontId="43" fillId="7" borderId="0" xfId="60" applyNumberFormat="1" applyFont="1" applyFill="1"/>
    <xf numFmtId="0" fontId="43" fillId="7" borderId="8" xfId="60" applyFont="1" applyFill="1" applyBorder="1"/>
    <xf numFmtId="38" fontId="43" fillId="7" borderId="27" xfId="26" applyFont="1" applyFill="1" applyBorder="1"/>
    <xf numFmtId="176" fontId="43" fillId="7" borderId="12" xfId="26" applyNumberFormat="1" applyFont="1" applyFill="1" applyBorder="1" applyAlignment="1">
      <alignment horizontal="right"/>
    </xf>
    <xf numFmtId="0" fontId="170" fillId="66" borderId="15" xfId="60" applyFont="1" applyFill="1" applyBorder="1" applyAlignment="1">
      <alignment vertical="center"/>
    </xf>
    <xf numFmtId="0" fontId="43" fillId="7" borderId="6" xfId="60" applyFont="1" applyFill="1" applyBorder="1"/>
    <xf numFmtId="184" fontId="43" fillId="7" borderId="16" xfId="26" applyNumberFormat="1" applyFont="1" applyFill="1" applyBorder="1" applyAlignment="1">
      <alignment horizontal="right"/>
    </xf>
    <xf numFmtId="184" fontId="43" fillId="7" borderId="6" xfId="26" applyNumberFormat="1" applyFont="1" applyFill="1" applyBorder="1" applyAlignment="1">
      <alignment horizontal="right"/>
    </xf>
    <xf numFmtId="184" fontId="43" fillId="7" borderId="15" xfId="26" applyNumberFormat="1" applyFont="1" applyFill="1" applyBorder="1" applyAlignment="1">
      <alignment horizontal="right"/>
    </xf>
    <xf numFmtId="184" fontId="43" fillId="7" borderId="28" xfId="26" applyNumberFormat="1" applyFont="1" applyFill="1" applyBorder="1" applyAlignment="1">
      <alignment horizontal="right"/>
    </xf>
    <xf numFmtId="176" fontId="43" fillId="7" borderId="51" xfId="26" applyNumberFormat="1" applyFont="1" applyFill="1" applyBorder="1" applyAlignment="1">
      <alignment horizontal="right"/>
    </xf>
    <xf numFmtId="176" fontId="43" fillId="7" borderId="0" xfId="60" applyNumberFormat="1" applyFont="1" applyFill="1" applyAlignment="1">
      <alignment vertical="center"/>
    </xf>
    <xf numFmtId="191" fontId="43" fillId="7" borderId="0" xfId="60" applyNumberFormat="1" applyFont="1" applyFill="1" applyAlignment="1">
      <alignment horizontal="center" vertical="center"/>
    </xf>
    <xf numFmtId="0" fontId="43" fillId="7" borderId="0" xfId="60" applyFont="1" applyFill="1" applyAlignment="1">
      <alignment horizontal="center"/>
    </xf>
    <xf numFmtId="176" fontId="43" fillId="7" borderId="0" xfId="60" applyNumberFormat="1" applyFont="1" applyFill="1"/>
    <xf numFmtId="191" fontId="43" fillId="7" borderId="0" xfId="60" applyNumberFormat="1" applyFont="1" applyFill="1" applyAlignment="1">
      <alignment horizontal="center"/>
    </xf>
    <xf numFmtId="49" fontId="43" fillId="7" borderId="141" xfId="60" applyNumberFormat="1" applyFont="1" applyFill="1" applyBorder="1" applyAlignment="1">
      <alignment horizontal="center" vertical="center" wrapText="1"/>
    </xf>
    <xf numFmtId="49" fontId="43" fillId="7" borderId="143" xfId="60" applyNumberFormat="1" applyFont="1" applyFill="1" applyBorder="1" applyAlignment="1">
      <alignment horizontal="center" vertical="center" wrapText="1"/>
    </xf>
    <xf numFmtId="0" fontId="43" fillId="7" borderId="0" xfId="60" applyFont="1" applyFill="1" applyAlignment="1">
      <alignment horizontal="right"/>
    </xf>
    <xf numFmtId="49" fontId="43" fillId="7" borderId="148" xfId="60" applyNumberFormat="1" applyFont="1" applyFill="1" applyBorder="1" applyAlignment="1">
      <alignment horizontal="center" vertical="center" wrapText="1"/>
    </xf>
    <xf numFmtId="49" fontId="43" fillId="7" borderId="144" xfId="60" applyNumberFormat="1" applyFont="1" applyFill="1" applyBorder="1" applyAlignment="1">
      <alignment horizontal="center" vertical="center" wrapText="1"/>
    </xf>
    <xf numFmtId="184" fontId="43" fillId="7" borderId="0" xfId="26" applyNumberFormat="1" applyFont="1" applyFill="1" applyBorder="1" applyAlignment="1">
      <alignment vertical="center"/>
    </xf>
    <xf numFmtId="0" fontId="43" fillId="7" borderId="133" xfId="60" applyFont="1" applyFill="1" applyBorder="1"/>
    <xf numFmtId="0" fontId="43" fillId="7" borderId="25" xfId="60" applyFont="1" applyFill="1" applyBorder="1"/>
    <xf numFmtId="0" fontId="43" fillId="7" borderId="41" xfId="60" applyFont="1" applyFill="1" applyBorder="1" applyAlignment="1">
      <alignment horizontal="right"/>
    </xf>
    <xf numFmtId="0" fontId="43" fillId="7" borderId="25" xfId="60" applyFont="1" applyFill="1" applyBorder="1" applyAlignment="1">
      <alignment horizontal="right"/>
    </xf>
    <xf numFmtId="0" fontId="43" fillId="7" borderId="42" xfId="60" applyFont="1" applyFill="1" applyBorder="1" applyAlignment="1">
      <alignment horizontal="right"/>
    </xf>
    <xf numFmtId="0" fontId="43" fillId="7" borderId="43" xfId="60" applyFont="1" applyFill="1" applyBorder="1" applyAlignment="1">
      <alignment horizontal="center"/>
    </xf>
    <xf numFmtId="0" fontId="43" fillId="7" borderId="22" xfId="60" applyFont="1" applyFill="1" applyBorder="1" applyAlignment="1">
      <alignment wrapText="1"/>
    </xf>
    <xf numFmtId="200" fontId="43" fillId="7" borderId="44" xfId="26" applyNumberFormat="1" applyFont="1" applyFill="1" applyBorder="1" applyAlignment="1">
      <alignment horizontal="right"/>
    </xf>
    <xf numFmtId="200" fontId="43" fillId="7" borderId="44" xfId="26" applyNumberFormat="1" applyFont="1" applyFill="1" applyBorder="1"/>
    <xf numFmtId="200" fontId="43" fillId="7" borderId="65" xfId="26" applyNumberFormat="1" applyFont="1" applyFill="1" applyBorder="1"/>
    <xf numFmtId="176" fontId="43" fillId="7" borderId="11" xfId="26" applyNumberFormat="1" applyFont="1" applyFill="1" applyBorder="1"/>
    <xf numFmtId="0" fontId="43" fillId="7" borderId="8" xfId="60" applyFont="1" applyFill="1" applyBorder="1" applyAlignment="1">
      <alignment wrapText="1"/>
    </xf>
    <xf numFmtId="200" fontId="43" fillId="7" borderId="26" xfId="26" applyNumberFormat="1" applyFont="1" applyFill="1" applyBorder="1" applyAlignment="1">
      <alignment horizontal="right"/>
    </xf>
    <xf numFmtId="200" fontId="43" fillId="7" borderId="26" xfId="26" applyNumberFormat="1" applyFont="1" applyFill="1" applyBorder="1"/>
    <xf numFmtId="200" fontId="43" fillId="7" borderId="27" xfId="26" applyNumberFormat="1" applyFont="1" applyFill="1" applyBorder="1"/>
    <xf numFmtId="176" fontId="43" fillId="7" borderId="12" xfId="26" applyNumberFormat="1" applyFont="1" applyFill="1" applyBorder="1"/>
    <xf numFmtId="0" fontId="43" fillId="7" borderId="6" xfId="60" applyFont="1" applyFill="1" applyBorder="1" applyAlignment="1">
      <alignment wrapText="1"/>
    </xf>
    <xf numFmtId="176" fontId="43" fillId="7" borderId="51" xfId="26" applyNumberFormat="1" applyFont="1" applyFill="1" applyBorder="1"/>
    <xf numFmtId="38" fontId="43" fillId="7" borderId="44" xfId="26" applyFont="1" applyFill="1" applyBorder="1" applyAlignment="1">
      <alignment horizontal="right"/>
    </xf>
    <xf numFmtId="38" fontId="43" fillId="7" borderId="44" xfId="26" applyFont="1" applyFill="1" applyBorder="1"/>
    <xf numFmtId="179" fontId="43" fillId="7" borderId="11" xfId="26" applyNumberFormat="1" applyFont="1" applyFill="1" applyBorder="1"/>
    <xf numFmtId="38" fontId="43" fillId="7" borderId="26" xfId="26" applyFont="1" applyFill="1" applyBorder="1" applyAlignment="1">
      <alignment horizontal="right"/>
    </xf>
    <xf numFmtId="179" fontId="43" fillId="7" borderId="12" xfId="26" applyNumberFormat="1" applyFont="1" applyFill="1" applyBorder="1"/>
    <xf numFmtId="179" fontId="43" fillId="7" borderId="51" xfId="26" applyNumberFormat="1" applyFont="1" applyFill="1" applyBorder="1" applyAlignment="1">
      <alignment horizontal="right"/>
    </xf>
    <xf numFmtId="0" fontId="212" fillId="7" borderId="0" xfId="60" applyFont="1" applyFill="1" applyAlignment="1">
      <alignment horizontal="right"/>
    </xf>
    <xf numFmtId="49" fontId="43" fillId="7" borderId="139" xfId="60" applyNumberFormat="1" applyFont="1" applyFill="1" applyBorder="1" applyAlignment="1">
      <alignment horizontal="center" vertical="center"/>
    </xf>
    <xf numFmtId="196" fontId="178" fillId="65" borderId="256" xfId="0" applyNumberFormat="1" applyFont="1" applyFill="1" applyBorder="1" applyAlignment="1">
      <alignment horizontal="center" vertical="top" wrapText="1"/>
    </xf>
    <xf numFmtId="196" fontId="178" fillId="65" borderId="249" xfId="0" applyNumberFormat="1" applyFont="1" applyFill="1" applyBorder="1" applyAlignment="1">
      <alignment horizontal="center" vertical="top" wrapText="1"/>
    </xf>
    <xf numFmtId="49" fontId="43" fillId="7" borderId="181" xfId="60" applyNumberFormat="1" applyFont="1" applyFill="1" applyBorder="1" applyAlignment="1">
      <alignment vertical="center"/>
    </xf>
    <xf numFmtId="49" fontId="43" fillId="7" borderId="197" xfId="60" applyNumberFormat="1" applyFont="1" applyFill="1" applyBorder="1" applyAlignment="1">
      <alignment vertical="center"/>
    </xf>
    <xf numFmtId="0" fontId="44" fillId="66" borderId="0" xfId="60" applyFont="1" applyFill="1" applyAlignment="1">
      <alignment vertical="center"/>
    </xf>
    <xf numFmtId="179" fontId="44" fillId="66" borderId="0" xfId="26" applyNumberFormat="1" applyFont="1" applyFill="1" applyBorder="1" applyAlignment="1">
      <alignment horizontal="right" vertical="center"/>
    </xf>
    <xf numFmtId="0" fontId="43" fillId="7" borderId="8" xfId="60" applyFont="1" applyFill="1" applyBorder="1" applyAlignment="1">
      <alignment vertical="top" wrapText="1"/>
    </xf>
    <xf numFmtId="38" fontId="43" fillId="7" borderId="145" xfId="26" applyFont="1" applyFill="1" applyBorder="1"/>
    <xf numFmtId="3" fontId="43" fillId="7" borderId="0" xfId="60" applyNumberFormat="1" applyFont="1" applyFill="1"/>
    <xf numFmtId="0" fontId="44" fillId="7" borderId="0" xfId="60" applyFont="1" applyFill="1" applyAlignment="1">
      <alignment vertical="center"/>
    </xf>
    <xf numFmtId="14" fontId="43" fillId="7" borderId="0" xfId="60" applyNumberFormat="1" applyFont="1" applyFill="1"/>
    <xf numFmtId="0" fontId="43" fillId="7" borderId="0" xfId="60" quotePrefix="1" applyFont="1" applyFill="1" applyAlignment="1">
      <alignment horizontal="left" vertical="center"/>
    </xf>
    <xf numFmtId="0" fontId="43" fillId="7" borderId="6" xfId="60" applyFont="1" applyFill="1" applyBorder="1" applyAlignment="1">
      <alignment vertical="top" wrapText="1"/>
    </xf>
    <xf numFmtId="38" fontId="43" fillId="7" borderId="140" xfId="26" applyFont="1" applyFill="1" applyBorder="1"/>
    <xf numFmtId="179" fontId="43" fillId="7" borderId="10" xfId="26" applyNumberFormat="1" applyFont="1" applyFill="1" applyBorder="1"/>
    <xf numFmtId="0" fontId="43" fillId="7" borderId="3" xfId="60" applyFont="1" applyFill="1" applyBorder="1"/>
    <xf numFmtId="38" fontId="43" fillId="7" borderId="5" xfId="26" applyFont="1" applyFill="1" applyBorder="1"/>
    <xf numFmtId="38" fontId="43" fillId="7" borderId="152" xfId="26" applyFont="1" applyFill="1" applyBorder="1"/>
    <xf numFmtId="179" fontId="43" fillId="7" borderId="116" xfId="26" applyNumberFormat="1" applyFont="1" applyFill="1" applyBorder="1"/>
    <xf numFmtId="0" fontId="166" fillId="7" borderId="0" xfId="60" applyFont="1" applyFill="1" applyAlignment="1">
      <alignment vertical="center"/>
    </xf>
    <xf numFmtId="176" fontId="43" fillId="7" borderId="0" xfId="26" applyNumberFormat="1" applyFont="1" applyFill="1" applyBorder="1" applyAlignment="1">
      <alignment horizontal="right" vertical="center"/>
    </xf>
    <xf numFmtId="179" fontId="43" fillId="7" borderId="0" xfId="26" applyNumberFormat="1" applyFont="1" applyFill="1" applyBorder="1" applyAlignment="1">
      <alignment horizontal="right" vertical="center"/>
    </xf>
    <xf numFmtId="184" fontId="43" fillId="7" borderId="0" xfId="26" applyNumberFormat="1" applyFont="1" applyFill="1" applyBorder="1" applyAlignment="1">
      <alignment horizontal="right"/>
    </xf>
    <xf numFmtId="176" fontId="43" fillId="7" borderId="0" xfId="26" applyNumberFormat="1" applyFont="1" applyFill="1" applyBorder="1"/>
    <xf numFmtId="200" fontId="43" fillId="7" borderId="16" xfId="26" applyNumberFormat="1" applyFont="1" applyFill="1" applyBorder="1"/>
    <xf numFmtId="200" fontId="43" fillId="7" borderId="66" xfId="26" applyNumberFormat="1" applyFont="1" applyFill="1" applyBorder="1"/>
    <xf numFmtId="176" fontId="43" fillId="7" borderId="10" xfId="26" applyNumberFormat="1" applyFont="1" applyFill="1" applyBorder="1"/>
    <xf numFmtId="200" fontId="43" fillId="7" borderId="19" xfId="26" applyNumberFormat="1" applyFont="1" applyFill="1" applyBorder="1"/>
    <xf numFmtId="200" fontId="43" fillId="7" borderId="122" xfId="26" applyNumberFormat="1" applyFont="1" applyFill="1" applyBorder="1"/>
    <xf numFmtId="176" fontId="43" fillId="7" borderId="116" xfId="26" applyNumberFormat="1" applyFont="1" applyFill="1" applyBorder="1"/>
    <xf numFmtId="191" fontId="43" fillId="7" borderId="0" xfId="60" applyNumberFormat="1" applyFont="1" applyFill="1" applyAlignment="1">
      <alignment horizontal="right" vertical="center"/>
    </xf>
    <xf numFmtId="38" fontId="43" fillId="7" borderId="0" xfId="26" applyFont="1" applyFill="1" applyBorder="1" applyAlignment="1">
      <alignment horizontal="center"/>
    </xf>
    <xf numFmtId="191" fontId="44" fillId="7" borderId="0" xfId="60" applyNumberFormat="1" applyFont="1" applyFill="1" applyAlignment="1">
      <alignment horizontal="right"/>
    </xf>
    <xf numFmtId="0" fontId="43" fillId="7" borderId="21" xfId="60" applyFont="1" applyFill="1" applyBorder="1" applyAlignment="1">
      <alignment horizontal="right"/>
    </xf>
    <xf numFmtId="0" fontId="43" fillId="7" borderId="23" xfId="60" applyFont="1" applyFill="1" applyBorder="1" applyAlignment="1">
      <alignment horizontal="center" vertical="center"/>
    </xf>
    <xf numFmtId="0" fontId="43" fillId="7" borderId="20" xfId="60" applyFont="1" applyFill="1" applyBorder="1" applyAlignment="1">
      <alignment horizontal="center" vertical="center"/>
    </xf>
    <xf numFmtId="0" fontId="43" fillId="7" borderId="34" xfId="60" applyFont="1" applyFill="1" applyBorder="1" applyAlignment="1">
      <alignment horizontal="center" vertical="center"/>
    </xf>
    <xf numFmtId="0" fontId="43" fillId="7" borderId="24" xfId="60" applyFont="1" applyFill="1" applyBorder="1" applyAlignment="1">
      <alignment horizontal="center" vertical="center"/>
    </xf>
    <xf numFmtId="0" fontId="43" fillId="7" borderId="24" xfId="60" applyFont="1" applyFill="1" applyBorder="1" applyAlignment="1">
      <alignment horizontal="center" vertical="center" wrapText="1"/>
    </xf>
    <xf numFmtId="0" fontId="43" fillId="7" borderId="40" xfId="60" applyFont="1" applyFill="1" applyBorder="1" applyAlignment="1">
      <alignment horizontal="right"/>
    </xf>
    <xf numFmtId="179" fontId="43" fillId="7" borderId="35" xfId="26" applyNumberFormat="1" applyFont="1" applyFill="1" applyBorder="1"/>
    <xf numFmtId="179" fontId="43" fillId="7" borderId="35" xfId="26" applyNumberFormat="1" applyFont="1" applyFill="1" applyBorder="1" applyAlignment="1"/>
    <xf numFmtId="179" fontId="44" fillId="66" borderId="0" xfId="26" applyNumberFormat="1" applyFont="1" applyFill="1" applyBorder="1" applyAlignment="1">
      <alignment vertical="center"/>
    </xf>
    <xf numFmtId="0" fontId="43" fillId="7" borderId="36" xfId="60" applyFont="1" applyFill="1" applyBorder="1" applyAlignment="1">
      <alignment horizontal="right"/>
    </xf>
    <xf numFmtId="38" fontId="43" fillId="7" borderId="13" xfId="26" applyFont="1" applyFill="1" applyBorder="1"/>
    <xf numFmtId="38" fontId="43" fillId="7" borderId="14" xfId="26" applyFont="1" applyFill="1" applyBorder="1"/>
    <xf numFmtId="179" fontId="43" fillId="7" borderId="37" xfId="26" applyNumberFormat="1" applyFont="1" applyFill="1" applyBorder="1"/>
    <xf numFmtId="179" fontId="43" fillId="7" borderId="37" xfId="26" applyNumberFormat="1" applyFont="1" applyFill="1" applyBorder="1" applyAlignment="1"/>
    <xf numFmtId="0" fontId="43" fillId="7" borderId="38" xfId="60" applyFont="1" applyFill="1" applyBorder="1" applyAlignment="1">
      <alignment horizontal="right"/>
    </xf>
    <xf numFmtId="38" fontId="43" fillId="7" borderId="28" xfId="26" applyFont="1" applyFill="1" applyBorder="1"/>
    <xf numFmtId="179" fontId="43" fillId="7" borderId="39" xfId="26" applyNumberFormat="1" applyFont="1" applyFill="1" applyBorder="1"/>
    <xf numFmtId="179" fontId="43" fillId="7" borderId="39" xfId="26" applyNumberFormat="1" applyFont="1" applyFill="1" applyBorder="1" applyAlignment="1"/>
    <xf numFmtId="0" fontId="44" fillId="66" borderId="15" xfId="60" applyFont="1" applyFill="1" applyBorder="1" applyAlignment="1">
      <alignment vertical="center"/>
    </xf>
    <xf numFmtId="38" fontId="44" fillId="66" borderId="15" xfId="26" applyFont="1" applyFill="1" applyBorder="1" applyAlignment="1">
      <alignment vertical="center"/>
    </xf>
    <xf numFmtId="179" fontId="44" fillId="66" borderId="15" xfId="26" applyNumberFormat="1" applyFont="1" applyFill="1" applyBorder="1" applyAlignment="1">
      <alignment vertical="center"/>
    </xf>
    <xf numFmtId="0" fontId="43" fillId="7" borderId="0" xfId="60" applyFont="1" applyFill="1" applyAlignment="1">
      <alignment horizontal="left" vertical="center"/>
    </xf>
    <xf numFmtId="0" fontId="43" fillId="7" borderId="22" xfId="60" applyFont="1" applyFill="1" applyBorder="1" applyAlignment="1">
      <alignment horizontal="center" vertical="center"/>
    </xf>
    <xf numFmtId="0" fontId="43" fillId="7" borderId="7" xfId="60" applyFont="1" applyFill="1" applyBorder="1" applyAlignment="1">
      <alignment horizontal="center" vertical="center"/>
    </xf>
    <xf numFmtId="0" fontId="43" fillId="7" borderId="26" xfId="60" applyFont="1" applyFill="1" applyBorder="1" applyAlignment="1">
      <alignment horizontal="center" vertical="center"/>
    </xf>
    <xf numFmtId="0" fontId="43" fillId="7" borderId="109" xfId="60" applyFont="1" applyFill="1" applyBorder="1" applyAlignment="1">
      <alignment horizontal="center" vertical="center"/>
    </xf>
    <xf numFmtId="0" fontId="43" fillId="7" borderId="12" xfId="60" applyFont="1" applyFill="1" applyBorder="1" applyAlignment="1">
      <alignment horizontal="center" vertical="center"/>
    </xf>
    <xf numFmtId="38" fontId="43" fillId="7" borderId="0" xfId="26" applyFont="1" applyFill="1" applyBorder="1" applyAlignment="1">
      <alignment horizontal="center" vertical="center"/>
    </xf>
    <xf numFmtId="0" fontId="43" fillId="7" borderId="41" xfId="60" applyFont="1" applyFill="1" applyBorder="1"/>
    <xf numFmtId="0" fontId="43" fillId="7" borderId="7" xfId="60" applyFont="1" applyFill="1" applyBorder="1"/>
    <xf numFmtId="187" fontId="43" fillId="7" borderId="7" xfId="60" applyNumberFormat="1" applyFont="1" applyFill="1" applyBorder="1"/>
    <xf numFmtId="187" fontId="43" fillId="7" borderId="26" xfId="60" applyNumberFormat="1" applyFont="1" applyFill="1" applyBorder="1"/>
    <xf numFmtId="187" fontId="43" fillId="7" borderId="109" xfId="60" applyNumberFormat="1" applyFont="1" applyFill="1" applyBorder="1"/>
    <xf numFmtId="38" fontId="44" fillId="66" borderId="15" xfId="26" applyFont="1" applyFill="1" applyBorder="1" applyAlignment="1">
      <alignment horizontal="right" vertical="center"/>
    </xf>
    <xf numFmtId="0" fontId="43" fillId="7" borderId="9" xfId="60" applyFont="1" applyFill="1" applyBorder="1"/>
    <xf numFmtId="187" fontId="43" fillId="7" borderId="9" xfId="60" applyNumberFormat="1" applyFont="1" applyFill="1" applyBorder="1"/>
    <xf numFmtId="187" fontId="43" fillId="7" borderId="60" xfId="60" applyNumberFormat="1" applyFont="1" applyFill="1" applyBorder="1"/>
    <xf numFmtId="179" fontId="43" fillId="7" borderId="51" xfId="26" applyNumberFormat="1" applyFont="1" applyFill="1" applyBorder="1"/>
    <xf numFmtId="0" fontId="43" fillId="7" borderId="0" xfId="60" applyFont="1" applyFill="1" applyAlignment="1">
      <alignment vertical="center" shrinkToFit="1"/>
    </xf>
    <xf numFmtId="0" fontId="166" fillId="7" borderId="0" xfId="60" applyFont="1" applyFill="1" applyAlignment="1">
      <alignment horizontal="left" vertical="center"/>
    </xf>
    <xf numFmtId="184" fontId="43" fillId="7" borderId="0" xfId="26" applyNumberFormat="1" applyFont="1" applyFill="1" applyBorder="1" applyAlignment="1">
      <alignment horizontal="center" vertical="center"/>
    </xf>
    <xf numFmtId="0" fontId="43" fillId="7" borderId="2" xfId="60" applyFont="1" applyFill="1" applyBorder="1"/>
    <xf numFmtId="0" fontId="213" fillId="7" borderId="0" xfId="60" applyFont="1" applyFill="1" applyAlignment="1">
      <alignment vertical="center"/>
    </xf>
    <xf numFmtId="38" fontId="43" fillId="7" borderId="25" xfId="26" applyFont="1" applyFill="1" applyBorder="1" applyAlignment="1">
      <alignment horizontal="right"/>
    </xf>
    <xf numFmtId="38" fontId="43" fillId="7" borderId="25" xfId="26" applyFont="1" applyFill="1" applyBorder="1"/>
    <xf numFmtId="187" fontId="43" fillId="7" borderId="7" xfId="60" applyNumberFormat="1" applyFont="1" applyFill="1" applyBorder="1" applyAlignment="1">
      <alignment horizontal="right"/>
    </xf>
    <xf numFmtId="187" fontId="43" fillId="7" borderId="209" xfId="60" applyNumberFormat="1" applyFont="1" applyFill="1" applyBorder="1" applyAlignment="1">
      <alignment horizontal="right"/>
    </xf>
    <xf numFmtId="187" fontId="43" fillId="7" borderId="42" xfId="60" applyNumberFormat="1" applyFont="1" applyFill="1" applyBorder="1" applyAlignment="1">
      <alignment horizontal="right"/>
    </xf>
    <xf numFmtId="0" fontId="209" fillId="7" borderId="0" xfId="60" applyFont="1" applyFill="1" applyAlignment="1">
      <alignment vertical="center"/>
    </xf>
    <xf numFmtId="187" fontId="43" fillId="7" borderId="7" xfId="26" applyNumberFormat="1" applyFont="1" applyFill="1" applyBorder="1"/>
    <xf numFmtId="187" fontId="43" fillId="7" borderId="145" xfId="26" applyNumberFormat="1" applyFont="1" applyFill="1" applyBorder="1"/>
    <xf numFmtId="187" fontId="43" fillId="7" borderId="27" xfId="26" applyNumberFormat="1" applyFont="1" applyFill="1" applyBorder="1"/>
    <xf numFmtId="38" fontId="43" fillId="7" borderId="16" xfId="26" applyFont="1" applyFill="1" applyBorder="1" applyAlignment="1">
      <alignment horizontal="right"/>
    </xf>
    <xf numFmtId="187" fontId="43" fillId="7" borderId="140" xfId="60" applyNumberFormat="1" applyFont="1" applyFill="1" applyBorder="1"/>
    <xf numFmtId="0" fontId="43" fillId="7" borderId="3" xfId="60" applyFont="1" applyFill="1" applyBorder="1" applyAlignment="1">
      <alignment horizontal="right"/>
    </xf>
    <xf numFmtId="179" fontId="43" fillId="7" borderId="3" xfId="60" applyNumberFormat="1" applyFont="1" applyFill="1" applyBorder="1"/>
    <xf numFmtId="179" fontId="43" fillId="7" borderId="3" xfId="26" applyNumberFormat="1" applyFont="1" applyFill="1" applyBorder="1"/>
    <xf numFmtId="0" fontId="44" fillId="70" borderId="15" xfId="60" applyFont="1" applyFill="1" applyBorder="1" applyAlignment="1">
      <alignment vertical="center"/>
    </xf>
    <xf numFmtId="179" fontId="44" fillId="70" borderId="15" xfId="26" applyNumberFormat="1" applyFont="1" applyFill="1" applyBorder="1" applyAlignment="1">
      <alignment horizontal="right" vertical="center"/>
    </xf>
    <xf numFmtId="38" fontId="163" fillId="7" borderId="0" xfId="26" applyFont="1" applyFill="1" applyAlignment="1">
      <alignment vertical="center"/>
    </xf>
    <xf numFmtId="180" fontId="176" fillId="7" borderId="0" xfId="58" applyNumberFormat="1" applyFont="1" applyFill="1">
      <alignment vertical="center"/>
    </xf>
    <xf numFmtId="38" fontId="163" fillId="7" borderId="15" xfId="26" applyFont="1" applyFill="1" applyBorder="1" applyAlignment="1">
      <alignment vertical="center"/>
    </xf>
    <xf numFmtId="49" fontId="43" fillId="7" borderId="207" xfId="60" applyNumberFormat="1" applyFont="1" applyFill="1" applyBorder="1" applyAlignment="1">
      <alignment horizontal="center" vertical="center"/>
    </xf>
    <xf numFmtId="38" fontId="43" fillId="7" borderId="141" xfId="26" applyFont="1" applyFill="1" applyBorder="1" applyAlignment="1">
      <alignment horizontal="center" vertical="center" wrapText="1"/>
    </xf>
    <xf numFmtId="38" fontId="43" fillId="7" borderId="137" xfId="26" applyFont="1" applyFill="1" applyBorder="1" applyAlignment="1">
      <alignment horizontal="center" vertical="center" wrapText="1"/>
    </xf>
    <xf numFmtId="49" fontId="163" fillId="7" borderId="0" xfId="26" applyNumberFormat="1" applyFont="1" applyFill="1" applyBorder="1" applyAlignment="1">
      <alignment vertical="center"/>
    </xf>
    <xf numFmtId="49" fontId="43" fillId="7" borderId="181" xfId="60" applyNumberFormat="1" applyFont="1" applyFill="1" applyBorder="1" applyAlignment="1">
      <alignment horizontal="center" vertical="center"/>
    </xf>
    <xf numFmtId="49" fontId="43" fillId="7" borderId="208" xfId="60" applyNumberFormat="1" applyFont="1" applyFill="1" applyBorder="1" applyAlignment="1">
      <alignment horizontal="center" vertical="center"/>
    </xf>
    <xf numFmtId="196" fontId="43" fillId="7" borderId="148" xfId="0" applyNumberFormat="1" applyFont="1" applyFill="1" applyBorder="1" applyAlignment="1">
      <alignment horizontal="centerContinuous" vertical="center" shrinkToFit="1"/>
    </xf>
    <xf numFmtId="38" fontId="163" fillId="7" borderId="8" xfId="26" applyFont="1" applyFill="1" applyBorder="1" applyAlignment="1">
      <alignment vertical="center" wrapText="1"/>
    </xf>
    <xf numFmtId="38" fontId="163" fillId="7" borderId="8" xfId="26" applyFont="1" applyFill="1" applyBorder="1" applyAlignment="1">
      <alignment horizontal="right" vertical="center"/>
    </xf>
    <xf numFmtId="38" fontId="163" fillId="7" borderId="8" xfId="26" applyFont="1" applyFill="1" applyBorder="1" applyAlignment="1">
      <alignment vertical="center"/>
    </xf>
    <xf numFmtId="38" fontId="163" fillId="7" borderId="7" xfId="26" applyFont="1" applyFill="1" applyBorder="1" applyAlignment="1">
      <alignment vertical="center"/>
    </xf>
    <xf numFmtId="38" fontId="163" fillId="7" borderId="145" xfId="26" applyFont="1" applyFill="1" applyBorder="1" applyAlignment="1">
      <alignment vertical="center"/>
    </xf>
    <xf numFmtId="38" fontId="163" fillId="7" borderId="147" xfId="26" applyFont="1" applyFill="1" applyBorder="1" applyAlignment="1">
      <alignment vertical="center"/>
    </xf>
    <xf numFmtId="201" fontId="163" fillId="7" borderId="158" xfId="26" applyNumberFormat="1" applyFont="1" applyFill="1" applyBorder="1" applyAlignment="1">
      <alignment vertical="center"/>
    </xf>
    <xf numFmtId="40" fontId="163" fillId="7" borderId="158" xfId="26" applyNumberFormat="1" applyFont="1" applyFill="1" applyBorder="1" applyAlignment="1">
      <alignment vertical="center"/>
    </xf>
    <xf numFmtId="3" fontId="163" fillId="7" borderId="0" xfId="26" applyNumberFormat="1" applyFont="1" applyFill="1" applyBorder="1" applyAlignment="1">
      <alignment vertical="center"/>
    </xf>
    <xf numFmtId="176" fontId="44" fillId="70" borderId="15" xfId="26" applyNumberFormat="1" applyFont="1" applyFill="1" applyBorder="1" applyAlignment="1">
      <alignment horizontal="right" vertical="center"/>
    </xf>
    <xf numFmtId="176" fontId="44" fillId="70" borderId="15" xfId="26" applyNumberFormat="1" applyFont="1" applyFill="1" applyBorder="1" applyAlignment="1">
      <alignment vertical="center"/>
    </xf>
    <xf numFmtId="38" fontId="163" fillId="7" borderId="6" xfId="26" applyFont="1" applyFill="1" applyBorder="1" applyAlignment="1">
      <alignment vertical="center" wrapText="1"/>
    </xf>
    <xf numFmtId="0" fontId="163" fillId="7" borderId="6" xfId="26" applyNumberFormat="1" applyFont="1" applyFill="1" applyBorder="1" applyAlignment="1">
      <alignment horizontal="right" vertical="center"/>
    </xf>
    <xf numFmtId="0" fontId="163" fillId="7" borderId="9" xfId="26" applyNumberFormat="1" applyFont="1" applyFill="1" applyBorder="1" applyAlignment="1">
      <alignment horizontal="right" vertical="center"/>
    </xf>
    <xf numFmtId="0" fontId="163" fillId="7" borderId="166" xfId="26" applyNumberFormat="1" applyFont="1" applyFill="1" applyBorder="1" applyAlignment="1">
      <alignment horizontal="right" vertical="center"/>
    </xf>
    <xf numFmtId="186" fontId="163" fillId="7" borderId="161" xfId="26" applyNumberFormat="1" applyFont="1" applyFill="1" applyBorder="1" applyAlignment="1">
      <alignment horizontal="right" vertical="center"/>
    </xf>
    <xf numFmtId="0" fontId="163" fillId="7" borderId="161" xfId="26" applyNumberFormat="1" applyFont="1" applyFill="1" applyBorder="1" applyAlignment="1">
      <alignment horizontal="right" vertical="center"/>
    </xf>
    <xf numFmtId="177" fontId="43" fillId="7" borderId="0" xfId="18" applyNumberFormat="1" applyFont="1" applyFill="1" applyBorder="1" applyAlignment="1">
      <alignment vertical="center"/>
    </xf>
    <xf numFmtId="38" fontId="163" fillId="7" borderId="0" xfId="26" applyFont="1" applyFill="1" applyAlignment="1">
      <alignment horizontal="center" vertical="center"/>
    </xf>
    <xf numFmtId="38" fontId="163" fillId="7" borderId="3" xfId="26" applyFont="1" applyFill="1" applyBorder="1" applyAlignment="1">
      <alignment vertical="center"/>
    </xf>
    <xf numFmtId="49" fontId="163" fillId="7" borderId="5" xfId="26" applyNumberFormat="1" applyFont="1" applyFill="1" applyBorder="1" applyAlignment="1">
      <alignment horizontal="center" vertical="center"/>
    </xf>
    <xf numFmtId="49" fontId="163" fillId="7" borderId="3" xfId="26" applyNumberFormat="1" applyFont="1" applyFill="1" applyBorder="1" applyAlignment="1">
      <alignment horizontal="center" vertical="center"/>
    </xf>
    <xf numFmtId="38" fontId="163" fillId="7" borderId="22" xfId="26" applyFont="1" applyFill="1" applyBorder="1" applyAlignment="1">
      <alignment vertical="center"/>
    </xf>
    <xf numFmtId="38" fontId="163" fillId="7" borderId="45" xfId="26" applyFont="1" applyFill="1" applyBorder="1" applyAlignment="1">
      <alignment vertical="center"/>
    </xf>
    <xf numFmtId="38" fontId="163" fillId="7" borderId="6" xfId="26" applyFont="1" applyFill="1" applyBorder="1" applyAlignment="1">
      <alignment vertical="center"/>
    </xf>
    <xf numFmtId="214" fontId="163" fillId="7" borderId="9" xfId="26" applyNumberFormat="1" applyFont="1" applyFill="1" applyBorder="1" applyAlignment="1">
      <alignment horizontal="right" vertical="center"/>
    </xf>
    <xf numFmtId="214" fontId="163" fillId="7" borderId="6" xfId="26" applyNumberFormat="1" applyFont="1" applyFill="1" applyBorder="1" applyAlignment="1">
      <alignment horizontal="right" vertical="center"/>
    </xf>
    <xf numFmtId="49" fontId="163" fillId="7" borderId="0" xfId="26" applyNumberFormat="1" applyFont="1" applyFill="1" applyBorder="1" applyAlignment="1">
      <alignment horizontal="center" vertical="center"/>
    </xf>
    <xf numFmtId="38" fontId="163" fillId="7" borderId="242" xfId="26" applyFont="1" applyFill="1" applyBorder="1" applyAlignment="1">
      <alignment horizontal="center" vertical="center"/>
    </xf>
    <xf numFmtId="38" fontId="163" fillId="7" borderId="244" xfId="26" applyFont="1" applyFill="1" applyBorder="1" applyAlignment="1">
      <alignment vertical="center"/>
    </xf>
    <xf numFmtId="38" fontId="163" fillId="7" borderId="0" xfId="26" quotePrefix="1" applyFont="1" applyFill="1" applyBorder="1" applyAlignment="1">
      <alignment horizontal="right" vertical="center"/>
    </xf>
    <xf numFmtId="38" fontId="163" fillId="7" borderId="9" xfId="26" applyFont="1" applyFill="1" applyBorder="1" applyAlignment="1">
      <alignment vertical="center"/>
    </xf>
    <xf numFmtId="38" fontId="163" fillId="7" borderId="56" xfId="26" applyFont="1" applyFill="1" applyBorder="1" applyAlignment="1">
      <alignment vertical="center"/>
    </xf>
    <xf numFmtId="49" fontId="163" fillId="7" borderId="0" xfId="26" applyNumberFormat="1" applyFont="1" applyFill="1" applyAlignment="1">
      <alignment horizontal="center" vertical="center"/>
    </xf>
    <xf numFmtId="177" fontId="163" fillId="7" borderId="0" xfId="26" applyNumberFormat="1" applyFont="1" applyFill="1" applyAlignment="1">
      <alignment vertical="center"/>
    </xf>
    <xf numFmtId="38" fontId="166" fillId="7" borderId="0" xfId="26" applyFont="1" applyFill="1" applyAlignment="1">
      <alignment vertical="center"/>
    </xf>
    <xf numFmtId="177" fontId="163" fillId="7" borderId="0" xfId="26" applyNumberFormat="1" applyFont="1" applyFill="1" applyBorder="1" applyAlignment="1">
      <alignment vertical="center"/>
    </xf>
    <xf numFmtId="38" fontId="214" fillId="7" borderId="0" xfId="26" applyFont="1" applyFill="1" applyAlignment="1">
      <alignment vertical="center"/>
    </xf>
    <xf numFmtId="0" fontId="186" fillId="7" borderId="0" xfId="0" applyFont="1" applyFill="1" applyAlignment="1">
      <alignment vertical="center"/>
    </xf>
    <xf numFmtId="0" fontId="43" fillId="7" borderId="0" xfId="61" applyFont="1" applyFill="1" applyAlignment="1">
      <alignment vertical="center"/>
    </xf>
    <xf numFmtId="0" fontId="43" fillId="7" borderId="0" xfId="61" applyFont="1" applyFill="1"/>
    <xf numFmtId="180" fontId="187" fillId="7" borderId="0" xfId="61" applyNumberFormat="1" applyFont="1" applyFill="1" applyAlignment="1">
      <alignment vertical="center"/>
    </xf>
    <xf numFmtId="180" fontId="177" fillId="7" borderId="0" xfId="61" applyNumberFormat="1" applyFont="1" applyFill="1" applyAlignment="1">
      <alignment vertical="center"/>
    </xf>
    <xf numFmtId="0" fontId="163" fillId="7" borderId="0" xfId="61" applyFont="1" applyFill="1" applyAlignment="1">
      <alignment horizontal="right" vertical="center"/>
    </xf>
    <xf numFmtId="188" fontId="163" fillId="7" borderId="0" xfId="26" applyNumberFormat="1" applyFont="1" applyFill="1" applyBorder="1" applyAlignment="1">
      <alignment vertical="center"/>
    </xf>
    <xf numFmtId="0" fontId="43" fillId="7" borderId="45" xfId="0" applyFont="1" applyFill="1" applyBorder="1" applyAlignment="1">
      <alignment horizontal="centerContinuous"/>
    </xf>
    <xf numFmtId="0" fontId="43" fillId="7" borderId="0" xfId="0" applyFont="1" applyFill="1" applyAlignment="1">
      <alignment horizontal="centerContinuous"/>
    </xf>
    <xf numFmtId="0" fontId="170" fillId="66" borderId="0" xfId="61" applyFont="1" applyFill="1" applyAlignment="1">
      <alignment horizontal="left" vertical="center"/>
    </xf>
    <xf numFmtId="188" fontId="163" fillId="7" borderId="0" xfId="26" applyNumberFormat="1" applyFont="1" applyFill="1" applyBorder="1"/>
    <xf numFmtId="0" fontId="43" fillId="7" borderId="6" xfId="61" applyFont="1" applyFill="1" applyBorder="1" applyAlignment="1">
      <alignment horizontal="left"/>
    </xf>
    <xf numFmtId="38" fontId="43" fillId="7" borderId="9" xfId="61" applyNumberFormat="1" applyFont="1" applyFill="1" applyBorder="1"/>
    <xf numFmtId="38" fontId="43" fillId="7" borderId="6" xfId="61" applyNumberFormat="1" applyFont="1" applyFill="1" applyBorder="1"/>
    <xf numFmtId="38" fontId="43" fillId="7" borderId="140" xfId="61" applyNumberFormat="1" applyFont="1" applyFill="1" applyBorder="1"/>
    <xf numFmtId="38" fontId="43" fillId="7" borderId="167" xfId="61" applyNumberFormat="1" applyFont="1" applyFill="1" applyBorder="1"/>
    <xf numFmtId="179" fontId="43" fillId="7" borderId="159" xfId="61" applyNumberFormat="1" applyFont="1" applyFill="1" applyBorder="1"/>
    <xf numFmtId="179" fontId="43" fillId="7" borderId="73" xfId="61" applyNumberFormat="1" applyFont="1" applyFill="1" applyBorder="1"/>
    <xf numFmtId="0" fontId="170" fillId="7" borderId="0" xfId="61" applyFont="1" applyFill="1" applyAlignment="1">
      <alignment horizontal="left" vertical="center"/>
    </xf>
    <xf numFmtId="0" fontId="43" fillId="7" borderId="3" xfId="61" applyFont="1" applyFill="1" applyBorder="1" applyAlignment="1">
      <alignment horizontal="left"/>
    </xf>
    <xf numFmtId="38" fontId="43" fillId="7" borderId="5" xfId="61" applyNumberFormat="1" applyFont="1" applyFill="1" applyBorder="1"/>
    <xf numFmtId="38" fontId="43" fillId="7" borderId="3" xfId="61" applyNumberFormat="1" applyFont="1" applyFill="1" applyBorder="1" applyAlignment="1">
      <alignment horizontal="right"/>
    </xf>
    <xf numFmtId="38" fontId="43" fillId="7" borderId="53" xfId="61" applyNumberFormat="1" applyFont="1" applyFill="1" applyBorder="1"/>
    <xf numFmtId="38" fontId="43" fillId="7" borderId="139" xfId="61" applyNumberFormat="1" applyFont="1" applyFill="1" applyBorder="1"/>
    <xf numFmtId="38" fontId="43" fillId="7" borderId="168" xfId="61" applyNumberFormat="1" applyFont="1" applyFill="1" applyBorder="1"/>
    <xf numFmtId="179" fontId="43" fillId="7" borderId="160" xfId="61" applyNumberFormat="1" applyFont="1" applyFill="1" applyBorder="1"/>
    <xf numFmtId="179" fontId="43" fillId="7" borderId="107" xfId="61" applyNumberFormat="1" applyFont="1" applyFill="1" applyBorder="1"/>
    <xf numFmtId="0" fontId="170" fillId="66" borderId="15" xfId="61" applyFont="1" applyFill="1" applyBorder="1" applyAlignment="1">
      <alignment horizontal="left" vertical="center"/>
    </xf>
    <xf numFmtId="0" fontId="170" fillId="66" borderId="15" xfId="61" applyFont="1" applyFill="1" applyBorder="1" applyAlignment="1">
      <alignment horizontal="left" vertical="center" shrinkToFit="1"/>
    </xf>
    <xf numFmtId="0" fontId="43" fillId="7" borderId="45" xfId="61" applyFont="1" applyFill="1" applyBorder="1"/>
    <xf numFmtId="38" fontId="43" fillId="7" borderId="3" xfId="61" applyNumberFormat="1" applyFont="1" applyFill="1" applyBorder="1"/>
    <xf numFmtId="38" fontId="43" fillId="7" borderId="152" xfId="61" applyNumberFormat="1" applyFont="1" applyFill="1" applyBorder="1"/>
    <xf numFmtId="38" fontId="43" fillId="7" borderId="169" xfId="61" applyNumberFormat="1" applyFont="1" applyFill="1" applyBorder="1"/>
    <xf numFmtId="179" fontId="43" fillId="7" borderId="172" xfId="61" applyNumberFormat="1" applyFont="1" applyFill="1" applyBorder="1"/>
    <xf numFmtId="179" fontId="43" fillId="7" borderId="87" xfId="61" applyNumberFormat="1" applyFont="1" applyFill="1" applyBorder="1"/>
    <xf numFmtId="0" fontId="166" fillId="7" borderId="0" xfId="61" applyFont="1" applyFill="1" applyAlignment="1">
      <alignment horizontal="left" vertical="center"/>
    </xf>
    <xf numFmtId="0" fontId="43" fillId="7" borderId="0" xfId="61" applyFont="1" applyFill="1" applyAlignment="1">
      <alignment horizontal="left" vertical="center"/>
    </xf>
    <xf numFmtId="38" fontId="163" fillId="7" borderId="0" xfId="61" applyNumberFormat="1" applyFont="1" applyFill="1" applyAlignment="1">
      <alignment vertical="center"/>
    </xf>
    <xf numFmtId="0" fontId="43" fillId="7" borderId="0" xfId="61" applyFont="1" applyFill="1" applyAlignment="1">
      <alignment horizontal="left"/>
    </xf>
    <xf numFmtId="38" fontId="43" fillId="7" borderId="0" xfId="61" applyNumberFormat="1" applyFont="1" applyFill="1"/>
    <xf numFmtId="38" fontId="43" fillId="7" borderId="0" xfId="61" applyNumberFormat="1" applyFont="1" applyFill="1" applyAlignment="1">
      <alignment horizontal="right" vertical="center"/>
    </xf>
    <xf numFmtId="38" fontId="43" fillId="7" borderId="0" xfId="61" applyNumberFormat="1" applyFont="1" applyFill="1" applyAlignment="1">
      <alignment vertical="center"/>
    </xf>
    <xf numFmtId="0" fontId="43" fillId="7" borderId="53" xfId="61" applyFont="1" applyFill="1" applyBorder="1"/>
    <xf numFmtId="0" fontId="43" fillId="7" borderId="154" xfId="61" applyFont="1" applyFill="1" applyBorder="1"/>
    <xf numFmtId="0" fontId="170" fillId="7" borderId="0" xfId="61" applyFont="1" applyFill="1" applyAlignment="1">
      <alignment vertical="center"/>
    </xf>
    <xf numFmtId="0" fontId="43" fillId="7" borderId="8" xfId="61" applyFont="1" applyFill="1" applyBorder="1"/>
    <xf numFmtId="38" fontId="43" fillId="7" borderId="6" xfId="26" applyFont="1" applyFill="1" applyBorder="1" applyAlignment="1">
      <alignment horizontal="right"/>
    </xf>
    <xf numFmtId="38" fontId="43" fillId="7" borderId="138" xfId="26" applyFont="1" applyFill="1" applyBorder="1"/>
    <xf numFmtId="38" fontId="43" fillId="7" borderId="167" xfId="26" applyFont="1" applyFill="1" applyBorder="1"/>
    <xf numFmtId="0" fontId="43" fillId="7" borderId="7" xfId="61" applyFont="1" applyFill="1" applyBorder="1"/>
    <xf numFmtId="38" fontId="43" fillId="7" borderId="6" xfId="26" applyFont="1" applyFill="1" applyBorder="1" applyAlignment="1"/>
    <xf numFmtId="0" fontId="170" fillId="7" borderId="258" xfId="61" applyFont="1" applyFill="1" applyBorder="1" applyAlignment="1">
      <alignment horizontal="left" vertical="center"/>
    </xf>
    <xf numFmtId="0" fontId="170" fillId="7" borderId="258" xfId="61" applyFont="1" applyFill="1" applyBorder="1" applyAlignment="1">
      <alignment vertical="center"/>
    </xf>
    <xf numFmtId="0" fontId="170" fillId="7" borderId="258" xfId="61" applyFont="1" applyFill="1" applyBorder="1" applyAlignment="1">
      <alignment vertical="center" shrinkToFit="1"/>
    </xf>
    <xf numFmtId="0" fontId="43" fillId="7" borderId="9" xfId="61" applyFont="1" applyFill="1" applyBorder="1" applyAlignment="1">
      <alignment horizontal="left"/>
    </xf>
    <xf numFmtId="38" fontId="43" fillId="7" borderId="170" xfId="26" applyFont="1" applyFill="1" applyBorder="1"/>
    <xf numFmtId="179" fontId="43" fillId="7" borderId="131" xfId="61" applyNumberFormat="1" applyFont="1" applyFill="1" applyBorder="1"/>
    <xf numFmtId="179" fontId="43" fillId="7" borderId="79" xfId="61" applyNumberFormat="1" applyFont="1" applyFill="1" applyBorder="1"/>
    <xf numFmtId="0" fontId="170" fillId="66" borderId="15" xfId="61" applyFont="1" applyFill="1" applyBorder="1" applyAlignment="1">
      <alignment vertical="center"/>
    </xf>
    <xf numFmtId="0" fontId="170" fillId="66" borderId="15" xfId="61" applyFont="1" applyFill="1" applyBorder="1" applyAlignment="1">
      <alignment vertical="center" shrinkToFit="1"/>
    </xf>
    <xf numFmtId="186" fontId="43" fillId="7" borderId="6" xfId="18" applyNumberFormat="1" applyFont="1" applyFill="1" applyBorder="1"/>
    <xf numFmtId="186" fontId="43" fillId="7" borderId="9" xfId="18" applyNumberFormat="1" applyFont="1" applyFill="1" applyBorder="1"/>
    <xf numFmtId="186" fontId="43" fillId="7" borderId="166" xfId="18" applyNumberFormat="1" applyFont="1" applyFill="1" applyBorder="1"/>
    <xf numFmtId="179" fontId="43" fillId="7" borderId="161" xfId="61" applyNumberFormat="1" applyFont="1" applyFill="1" applyBorder="1" applyAlignment="1">
      <alignment horizontal="right"/>
    </xf>
    <xf numFmtId="179" fontId="43" fillId="7" borderId="91" xfId="61" applyNumberFormat="1" applyFont="1" applyFill="1" applyBorder="1" applyAlignment="1">
      <alignment horizontal="right"/>
    </xf>
    <xf numFmtId="0" fontId="166" fillId="7" borderId="0" xfId="61" applyFont="1" applyFill="1" applyAlignment="1">
      <alignment vertical="center"/>
    </xf>
    <xf numFmtId="176" fontId="43" fillId="7" borderId="0" xfId="61" applyNumberFormat="1" applyFont="1" applyFill="1" applyAlignment="1">
      <alignment vertical="center"/>
    </xf>
    <xf numFmtId="177" fontId="43" fillId="7" borderId="0" xfId="18" applyNumberFormat="1" applyFont="1" applyFill="1" applyBorder="1"/>
    <xf numFmtId="176" fontId="215" fillId="7" borderId="0" xfId="61" applyNumberFormat="1" applyFont="1" applyFill="1" applyAlignment="1">
      <alignment vertical="center"/>
    </xf>
    <xf numFmtId="55" fontId="43" fillId="7" borderId="0" xfId="61" applyNumberFormat="1" applyFont="1" applyFill="1"/>
    <xf numFmtId="0" fontId="43" fillId="7" borderId="243" xfId="61" applyFont="1" applyFill="1" applyBorder="1"/>
    <xf numFmtId="0" fontId="43" fillId="7" borderId="244" xfId="61" applyFont="1" applyFill="1" applyBorder="1"/>
    <xf numFmtId="0" fontId="43" fillId="7" borderId="9" xfId="61" applyFont="1" applyFill="1" applyBorder="1"/>
    <xf numFmtId="0" fontId="43" fillId="7" borderId="15" xfId="61" applyFont="1" applyFill="1" applyBorder="1"/>
    <xf numFmtId="0" fontId="43" fillId="7" borderId="56" xfId="61" applyFont="1" applyFill="1" applyBorder="1"/>
    <xf numFmtId="38" fontId="44" fillId="66" borderId="0" xfId="61" applyNumberFormat="1" applyFont="1" applyFill="1" applyAlignment="1">
      <alignment vertical="center"/>
    </xf>
    <xf numFmtId="179" fontId="44" fillId="66" borderId="0" xfId="61" applyNumberFormat="1" applyFont="1" applyFill="1" applyAlignment="1">
      <alignment horizontal="right" vertical="center"/>
    </xf>
    <xf numFmtId="38" fontId="44" fillId="7" borderId="0" xfId="61" applyNumberFormat="1" applyFont="1" applyFill="1" applyAlignment="1">
      <alignment vertical="center"/>
    </xf>
    <xf numFmtId="179" fontId="44" fillId="7" borderId="0" xfId="61" applyNumberFormat="1" applyFont="1" applyFill="1" applyAlignment="1">
      <alignment horizontal="right" vertical="center"/>
    </xf>
    <xf numFmtId="38" fontId="44" fillId="66" borderId="15" xfId="61" applyNumberFormat="1" applyFont="1" applyFill="1" applyBorder="1" applyAlignment="1">
      <alignment vertical="center"/>
    </xf>
    <xf numFmtId="179" fontId="44" fillId="66" borderId="15" xfId="61" applyNumberFormat="1" applyFont="1" applyFill="1" applyBorder="1" applyAlignment="1">
      <alignment horizontal="right" vertical="center"/>
    </xf>
    <xf numFmtId="38" fontId="44" fillId="7" borderId="155" xfId="61" applyNumberFormat="1" applyFont="1" applyFill="1" applyBorder="1" applyAlignment="1">
      <alignment horizontal="right" vertical="center"/>
    </xf>
    <xf numFmtId="38" fontId="44" fillId="7" borderId="155" xfId="61" applyNumberFormat="1" applyFont="1" applyFill="1" applyBorder="1" applyAlignment="1">
      <alignment vertical="center"/>
    </xf>
    <xf numFmtId="184" fontId="44" fillId="7" borderId="155" xfId="61" applyNumberFormat="1" applyFont="1" applyFill="1" applyBorder="1" applyAlignment="1">
      <alignment vertical="center"/>
    </xf>
    <xf numFmtId="184" fontId="44" fillId="7" borderId="155" xfId="61" applyNumberFormat="1" applyFont="1" applyFill="1" applyBorder="1" applyAlignment="1">
      <alignment horizontal="right" vertical="center"/>
    </xf>
    <xf numFmtId="38" fontId="44" fillId="7" borderId="98" xfId="61" applyNumberFormat="1" applyFont="1" applyFill="1" applyBorder="1" applyAlignment="1">
      <alignment vertical="center"/>
    </xf>
    <xf numFmtId="184" fontId="44" fillId="7" borderId="98" xfId="61" applyNumberFormat="1" applyFont="1" applyFill="1" applyBorder="1" applyAlignment="1">
      <alignment vertical="center"/>
    </xf>
    <xf numFmtId="184" fontId="44" fillId="7" borderId="98" xfId="61" applyNumberFormat="1" applyFont="1" applyFill="1" applyBorder="1" applyAlignment="1">
      <alignment horizontal="right" vertical="center"/>
    </xf>
    <xf numFmtId="184" fontId="44" fillId="66" borderId="15" xfId="61" applyNumberFormat="1" applyFont="1" applyFill="1" applyBorder="1" applyAlignment="1">
      <alignment vertical="center"/>
    </xf>
    <xf numFmtId="184" fontId="44" fillId="66" borderId="15" xfId="61" applyNumberFormat="1" applyFont="1" applyFill="1" applyBorder="1" applyAlignment="1">
      <alignment horizontal="right" vertical="center"/>
    </xf>
    <xf numFmtId="38" fontId="44" fillId="7" borderId="258" xfId="61" applyNumberFormat="1" applyFont="1" applyFill="1" applyBorder="1" applyAlignment="1">
      <alignment vertical="center"/>
    </xf>
    <xf numFmtId="184" fontId="44" fillId="7" borderId="258" xfId="61" applyNumberFormat="1" applyFont="1" applyFill="1" applyBorder="1" applyAlignment="1">
      <alignment vertical="center"/>
    </xf>
    <xf numFmtId="184" fontId="44" fillId="7" borderId="258" xfId="61" applyNumberFormat="1" applyFont="1" applyFill="1" applyBorder="1" applyAlignment="1">
      <alignment horizontal="right" vertical="center"/>
    </xf>
    <xf numFmtId="176" fontId="44" fillId="66" borderId="15" xfId="61" applyNumberFormat="1" applyFont="1" applyFill="1" applyBorder="1" applyAlignment="1">
      <alignment vertical="center"/>
    </xf>
    <xf numFmtId="0" fontId="184" fillId="7" borderId="0" xfId="61" applyFont="1" applyFill="1" applyAlignment="1">
      <alignment horizontal="left" vertical="center"/>
    </xf>
    <xf numFmtId="0" fontId="197" fillId="7" borderId="6" xfId="61" applyFont="1" applyFill="1" applyBorder="1" applyAlignment="1">
      <alignment horizontal="left"/>
    </xf>
    <xf numFmtId="0" fontId="197" fillId="7" borderId="9" xfId="61" applyFont="1" applyFill="1" applyBorder="1" applyAlignment="1">
      <alignment horizontal="left"/>
    </xf>
    <xf numFmtId="0" fontId="44" fillId="7" borderId="0" xfId="59" applyFont="1" applyFill="1" applyAlignment="1">
      <alignment horizontal="right"/>
    </xf>
    <xf numFmtId="49" fontId="163" fillId="7" borderId="22" xfId="0" applyNumberFormat="1" applyFont="1" applyFill="1" applyBorder="1" applyAlignment="1">
      <alignment horizontal="center" vertical="center" wrapText="1"/>
    </xf>
    <xf numFmtId="49" fontId="163" fillId="7" borderId="53" xfId="0" applyNumberFormat="1" applyFont="1" applyFill="1" applyBorder="1" applyAlignment="1">
      <alignment horizontal="center" vertical="center" wrapText="1"/>
    </xf>
    <xf numFmtId="49" fontId="163" fillId="7" borderId="139" xfId="0" applyNumberFormat="1" applyFont="1" applyFill="1" applyBorder="1" applyAlignment="1">
      <alignment horizontal="center" vertical="center" wrapText="1"/>
    </xf>
    <xf numFmtId="49" fontId="163" fillId="7" borderId="114" xfId="0" applyNumberFormat="1" applyFont="1" applyFill="1" applyBorder="1" applyAlignment="1">
      <alignment horizontal="center" vertical="center" wrapText="1"/>
    </xf>
    <xf numFmtId="0" fontId="163" fillId="7" borderId="77" xfId="0" applyFont="1" applyFill="1" applyBorder="1" applyAlignment="1">
      <alignment horizontal="center" vertical="center" wrapText="1"/>
    </xf>
    <xf numFmtId="49" fontId="163" fillId="7" borderId="6" xfId="0" applyNumberFormat="1" applyFont="1" applyFill="1" applyBorder="1" applyAlignment="1">
      <alignment horizontal="center" vertical="center" wrapText="1"/>
    </xf>
    <xf numFmtId="49" fontId="163" fillId="7" borderId="9" xfId="0" applyNumberFormat="1" applyFont="1" applyFill="1" applyBorder="1" applyAlignment="1">
      <alignment horizontal="center" vertical="center" wrapText="1"/>
    </xf>
    <xf numFmtId="49" fontId="163" fillId="7" borderId="140" xfId="0" applyNumberFormat="1" applyFont="1" applyFill="1" applyBorder="1" applyAlignment="1">
      <alignment horizontal="center" vertical="center" wrapText="1"/>
    </xf>
    <xf numFmtId="49" fontId="163" fillId="7" borderId="73" xfId="0" applyNumberFormat="1" applyFont="1" applyFill="1" applyBorder="1" applyAlignment="1">
      <alignment horizontal="center" vertical="center" wrapText="1"/>
    </xf>
    <xf numFmtId="0" fontId="163" fillId="7" borderId="79" xfId="0" applyFont="1" applyFill="1" applyBorder="1" applyAlignment="1">
      <alignment horizontal="center" vertical="center" wrapText="1"/>
    </xf>
    <xf numFmtId="0" fontId="44" fillId="7" borderId="79" xfId="0" applyFont="1" applyFill="1" applyBorder="1" applyAlignment="1">
      <alignment horizontal="center" vertical="center" wrapText="1"/>
    </xf>
    <xf numFmtId="0" fontId="43" fillId="7" borderId="111" xfId="59" applyFont="1" applyFill="1" applyBorder="1" applyAlignment="1">
      <alignment vertical="center" wrapText="1"/>
    </xf>
    <xf numFmtId="178" fontId="43" fillId="7" borderId="3" xfId="59" applyNumberFormat="1" applyFont="1" applyFill="1" applyBorder="1"/>
    <xf numFmtId="178" fontId="43" fillId="7" borderId="5" xfId="59" applyNumberFormat="1" applyFont="1" applyFill="1" applyBorder="1"/>
    <xf numFmtId="178" fontId="43" fillId="7" borderId="152" xfId="59" applyNumberFormat="1" applyFont="1" applyFill="1" applyBorder="1"/>
    <xf numFmtId="178" fontId="43" fillId="7" borderId="79" xfId="59" applyNumberFormat="1" applyFont="1" applyFill="1" applyBorder="1"/>
    <xf numFmtId="179" fontId="43" fillId="7" borderId="79" xfId="59" applyNumberFormat="1" applyFont="1" applyFill="1" applyBorder="1"/>
    <xf numFmtId="179" fontId="43" fillId="7" borderId="79" xfId="26" applyNumberFormat="1" applyFont="1" applyFill="1" applyBorder="1"/>
    <xf numFmtId="0" fontId="43" fillId="7" borderId="0" xfId="59" quotePrefix="1" applyFont="1" applyFill="1"/>
    <xf numFmtId="179" fontId="43" fillId="7" borderId="3" xfId="59" applyNumberFormat="1" applyFont="1" applyFill="1" applyBorder="1"/>
    <xf numFmtId="179" fontId="43" fillId="7" borderId="5" xfId="59" applyNumberFormat="1" applyFont="1" applyFill="1" applyBorder="1"/>
    <xf numFmtId="179" fontId="43" fillId="7" borderId="79" xfId="59" applyNumberFormat="1" applyFont="1" applyFill="1" applyBorder="1" applyAlignment="1">
      <alignment horizontal="right"/>
    </xf>
    <xf numFmtId="179" fontId="43" fillId="7" borderId="87" xfId="59" applyNumberFormat="1" applyFont="1" applyFill="1" applyBorder="1"/>
    <xf numFmtId="179" fontId="43" fillId="7" borderId="87" xfId="59" applyNumberFormat="1" applyFont="1" applyFill="1" applyBorder="1" applyAlignment="1">
      <alignment horizontal="right"/>
    </xf>
    <xf numFmtId="49" fontId="43" fillId="7" borderId="22" xfId="59" applyNumberFormat="1" applyFont="1" applyFill="1" applyBorder="1" applyAlignment="1">
      <alignment horizontal="right"/>
    </xf>
    <xf numFmtId="184" fontId="163" fillId="7" borderId="243" xfId="61" applyNumberFormat="1" applyFont="1" applyFill="1" applyBorder="1" applyAlignment="1">
      <alignment horizontal="right" vertical="center"/>
    </xf>
    <xf numFmtId="184" fontId="163" fillId="7" borderId="0" xfId="61" applyNumberFormat="1" applyFont="1" applyFill="1" applyAlignment="1">
      <alignment horizontal="right" vertical="center"/>
    </xf>
    <xf numFmtId="211" fontId="163" fillId="7" borderId="0" xfId="59" applyNumberFormat="1" applyFont="1" applyFill="1" applyAlignment="1">
      <alignment horizontal="right" vertical="center"/>
    </xf>
    <xf numFmtId="38" fontId="163" fillId="70" borderId="15" xfId="26" applyFont="1" applyFill="1" applyBorder="1" applyAlignment="1">
      <alignment horizontal="right" vertical="center"/>
    </xf>
    <xf numFmtId="184" fontId="163" fillId="70" borderId="15" xfId="61" applyNumberFormat="1" applyFont="1" applyFill="1" applyBorder="1" applyAlignment="1">
      <alignment horizontal="right" vertical="center"/>
    </xf>
    <xf numFmtId="211" fontId="163" fillId="70" borderId="15" xfId="59" applyNumberFormat="1" applyFont="1" applyFill="1" applyBorder="1" applyAlignment="1">
      <alignment horizontal="right" vertical="center"/>
    </xf>
    <xf numFmtId="178" fontId="44" fillId="7" borderId="243" xfId="26" applyNumberFormat="1" applyFont="1" applyFill="1" applyBorder="1" applyAlignment="1">
      <alignment vertical="center"/>
    </xf>
    <xf numFmtId="184" fontId="44" fillId="7" borderId="243" xfId="26" applyNumberFormat="1" applyFont="1" applyFill="1" applyBorder="1" applyAlignment="1">
      <alignment horizontal="right" vertical="center"/>
    </xf>
    <xf numFmtId="178" fontId="44" fillId="7" borderId="0" xfId="26" applyNumberFormat="1" applyFont="1" applyFill="1" applyBorder="1" applyAlignment="1">
      <alignment horizontal="right" vertical="center"/>
    </xf>
    <xf numFmtId="178" fontId="44" fillId="7" borderId="0" xfId="26" applyNumberFormat="1" applyFont="1" applyFill="1" applyBorder="1" applyAlignment="1">
      <alignment vertical="center"/>
    </xf>
    <xf numFmtId="0" fontId="43" fillId="7" borderId="0" xfId="60" applyFont="1" applyFill="1" applyAlignment="1">
      <alignment vertical="center" wrapText="1"/>
    </xf>
    <xf numFmtId="184" fontId="43" fillId="7" borderId="0" xfId="26" applyNumberFormat="1" applyFont="1" applyFill="1" applyBorder="1" applyAlignment="1">
      <alignment horizontal="right" vertical="center"/>
    </xf>
    <xf numFmtId="176" fontId="43" fillId="7" borderId="0" xfId="60" applyNumberFormat="1" applyFont="1" applyFill="1" applyAlignment="1">
      <alignment horizontal="right" vertical="center"/>
    </xf>
    <xf numFmtId="38" fontId="44" fillId="7" borderId="0" xfId="61" applyNumberFormat="1" applyFont="1" applyFill="1" applyAlignment="1">
      <alignment horizontal="right" vertical="center"/>
    </xf>
    <xf numFmtId="38" fontId="44" fillId="66" borderId="15" xfId="61" applyNumberFormat="1" applyFont="1" applyFill="1" applyBorder="1" applyAlignment="1">
      <alignment horizontal="right" vertical="center"/>
    </xf>
    <xf numFmtId="196" fontId="172" fillId="65" borderId="247" xfId="0" applyNumberFormat="1" applyFont="1" applyFill="1" applyBorder="1" applyAlignment="1">
      <alignment horizontal="center" wrapText="1"/>
    </xf>
    <xf numFmtId="0" fontId="43" fillId="7" borderId="0" xfId="0" applyFont="1" applyFill="1" applyAlignment="1">
      <alignment vertical="center" wrapText="1"/>
    </xf>
    <xf numFmtId="0" fontId="43" fillId="7" borderId="0" xfId="0" applyFont="1" applyFill="1" applyAlignment="1">
      <alignment wrapText="1"/>
    </xf>
    <xf numFmtId="0" fontId="43" fillId="7" borderId="21" xfId="60" applyFont="1" applyFill="1" applyBorder="1" applyAlignment="1">
      <alignment horizontal="center" vertical="center"/>
    </xf>
    <xf numFmtId="0" fontId="194" fillId="7" borderId="0" xfId="60" applyFont="1" applyFill="1"/>
    <xf numFmtId="180" fontId="163" fillId="7" borderId="0" xfId="0" applyNumberFormat="1" applyFont="1" applyFill="1"/>
    <xf numFmtId="0" fontId="180" fillId="7" borderId="0" xfId="60" applyFont="1" applyFill="1"/>
    <xf numFmtId="180" fontId="163" fillId="7" borderId="0" xfId="0" applyNumberFormat="1" applyFont="1" applyFill="1" applyAlignment="1">
      <alignment vertical="center"/>
    </xf>
    <xf numFmtId="180" fontId="163" fillId="7" borderId="0" xfId="26" applyNumberFormat="1" applyFont="1" applyFill="1" applyAlignment="1">
      <alignment vertical="center"/>
    </xf>
    <xf numFmtId="180" fontId="217" fillId="7" borderId="0" xfId="0" applyNumberFormat="1" applyFont="1" applyFill="1" applyAlignment="1">
      <alignment vertical="center"/>
    </xf>
    <xf numFmtId="180" fontId="163" fillId="7" borderId="0" xfId="26" applyNumberFormat="1" applyFont="1" applyFill="1" applyBorder="1" applyAlignment="1">
      <alignment vertical="center"/>
    </xf>
    <xf numFmtId="180" fontId="43" fillId="7" borderId="0" xfId="0" applyNumberFormat="1" applyFont="1" applyFill="1" applyAlignment="1">
      <alignment vertical="center"/>
    </xf>
    <xf numFmtId="180" fontId="43" fillId="7" borderId="0" xfId="26" applyNumberFormat="1" applyFont="1" applyFill="1" applyBorder="1" applyAlignment="1">
      <alignment vertical="center"/>
    </xf>
    <xf numFmtId="184" fontId="44" fillId="7" borderId="0" xfId="18" applyNumberFormat="1" applyFont="1" applyFill="1" applyBorder="1" applyAlignment="1">
      <alignment horizontal="right" vertical="center"/>
    </xf>
    <xf numFmtId="184" fontId="44" fillId="66" borderId="15" xfId="18" applyNumberFormat="1" applyFont="1" applyFill="1" applyBorder="1" applyAlignment="1">
      <alignment horizontal="right" vertical="center"/>
    </xf>
    <xf numFmtId="178" fontId="44" fillId="7" borderId="15" xfId="26" applyNumberFormat="1" applyFont="1" applyFill="1" applyBorder="1" applyAlignment="1">
      <alignment vertical="center"/>
    </xf>
    <xf numFmtId="184" fontId="44" fillId="7" borderId="15" xfId="18" applyNumberFormat="1" applyFont="1" applyFill="1" applyBorder="1" applyAlignment="1">
      <alignment horizontal="right" vertical="center"/>
    </xf>
    <xf numFmtId="178" fontId="44" fillId="7" borderId="258" xfId="26" applyNumberFormat="1" applyFont="1" applyFill="1" applyBorder="1" applyAlignment="1">
      <alignment vertical="center"/>
    </xf>
    <xf numFmtId="184" fontId="44" fillId="7" borderId="258" xfId="18" applyNumberFormat="1" applyFont="1" applyFill="1" applyBorder="1" applyAlignment="1">
      <alignment horizontal="right" vertical="center"/>
    </xf>
    <xf numFmtId="179" fontId="44" fillId="7" borderId="15" xfId="18" applyNumberFormat="1" applyFont="1" applyFill="1" applyBorder="1" applyAlignment="1">
      <alignment horizontal="right" vertical="center"/>
    </xf>
    <xf numFmtId="184" fontId="44" fillId="7" borderId="243" xfId="18" applyNumberFormat="1" applyFont="1" applyFill="1" applyBorder="1" applyAlignment="1">
      <alignment horizontal="right" vertical="center"/>
    </xf>
    <xf numFmtId="184" fontId="44" fillId="7" borderId="15" xfId="0" applyNumberFormat="1" applyFont="1" applyFill="1" applyBorder="1" applyAlignment="1">
      <alignment horizontal="right" vertical="center"/>
    </xf>
    <xf numFmtId="178" fontId="44" fillId="7" borderId="15" xfId="26" applyNumberFormat="1" applyFont="1" applyFill="1" applyBorder="1" applyAlignment="1">
      <alignment horizontal="right" vertical="center"/>
    </xf>
    <xf numFmtId="180" fontId="186" fillId="7" borderId="0" xfId="26" applyNumberFormat="1" applyFont="1" applyFill="1" applyBorder="1" applyAlignment="1">
      <alignment vertical="center"/>
    </xf>
    <xf numFmtId="180" fontId="184" fillId="7" borderId="0" xfId="26" applyNumberFormat="1" applyFont="1" applyFill="1" applyBorder="1" applyAlignment="1">
      <alignment vertical="center"/>
    </xf>
    <xf numFmtId="38" fontId="43" fillId="7" borderId="0" xfId="26" applyFont="1" applyFill="1" applyBorder="1" applyAlignment="1">
      <alignment horizontal="center" vertical="center" wrapText="1"/>
    </xf>
    <xf numFmtId="180" fontId="170" fillId="7" borderId="0" xfId="0" applyNumberFormat="1" applyFont="1" applyFill="1" applyAlignment="1">
      <alignment horizontal="center" vertical="center" wrapText="1" shrinkToFit="1"/>
    </xf>
    <xf numFmtId="180" fontId="170" fillId="7" borderId="0" xfId="0" applyNumberFormat="1" applyFont="1" applyFill="1" applyAlignment="1">
      <alignment vertical="center"/>
    </xf>
    <xf numFmtId="180" fontId="170" fillId="7" borderId="0" xfId="26" applyNumberFormat="1" applyFont="1" applyFill="1" applyBorder="1" applyAlignment="1">
      <alignment vertical="center"/>
    </xf>
    <xf numFmtId="179" fontId="43" fillId="7" borderId="0" xfId="0" applyNumberFormat="1" applyFont="1" applyFill="1" applyAlignment="1">
      <alignment horizontal="right" vertical="center"/>
    </xf>
    <xf numFmtId="180" fontId="196" fillId="7" borderId="0" xfId="0" applyNumberFormat="1" applyFont="1" applyFill="1" applyAlignment="1">
      <alignment vertical="center"/>
    </xf>
    <xf numFmtId="180" fontId="196" fillId="7" borderId="0" xfId="26" applyNumberFormat="1" applyFont="1" applyFill="1" applyBorder="1" applyAlignment="1">
      <alignment vertical="center"/>
    </xf>
    <xf numFmtId="180" fontId="196" fillId="7" borderId="0" xfId="26" applyNumberFormat="1" applyFont="1" applyFill="1" applyAlignment="1">
      <alignment vertical="center"/>
    </xf>
    <xf numFmtId="178" fontId="163" fillId="7" borderId="0" xfId="26" applyNumberFormat="1" applyFont="1" applyFill="1" applyBorder="1" applyAlignment="1">
      <alignment horizontal="right" vertical="center"/>
    </xf>
    <xf numFmtId="178" fontId="43" fillId="7" borderId="0" xfId="26" applyNumberFormat="1" applyFont="1" applyFill="1" applyBorder="1" applyAlignment="1">
      <alignment horizontal="right" vertical="center"/>
    </xf>
    <xf numFmtId="180" fontId="177" fillId="7" borderId="0" xfId="0" applyNumberFormat="1" applyFont="1" applyFill="1"/>
    <xf numFmtId="180" fontId="163" fillId="7" borderId="0" xfId="26" applyNumberFormat="1" applyFont="1" applyFill="1" applyAlignment="1"/>
    <xf numFmtId="38" fontId="163" fillId="7" borderId="0" xfId="26" applyFont="1" applyFill="1" applyAlignment="1"/>
    <xf numFmtId="38" fontId="163" fillId="7" borderId="0" xfId="26" applyFont="1" applyFill="1" applyBorder="1" applyAlignment="1"/>
    <xf numFmtId="0" fontId="163" fillId="7" borderId="0" xfId="0" applyFont="1" applyFill="1"/>
    <xf numFmtId="0" fontId="163" fillId="7" borderId="0" xfId="0" applyFont="1" applyFill="1" applyAlignment="1">
      <alignment horizontal="right" vertical="top"/>
    </xf>
    <xf numFmtId="0" fontId="43" fillId="7" borderId="0" xfId="26" applyNumberFormat="1" applyFont="1" applyFill="1" applyBorder="1" applyAlignment="1">
      <alignment horizontal="center"/>
    </xf>
    <xf numFmtId="178" fontId="164" fillId="7" borderId="243" xfId="0" applyNumberFormat="1" applyFont="1" applyFill="1" applyBorder="1" applyAlignment="1">
      <alignment vertical="center"/>
    </xf>
    <xf numFmtId="178" fontId="164" fillId="7" borderId="243" xfId="26" applyNumberFormat="1" applyFont="1" applyFill="1" applyBorder="1" applyAlignment="1">
      <alignment vertical="center"/>
    </xf>
    <xf numFmtId="178" fontId="43" fillId="7" borderId="0" xfId="26" applyNumberFormat="1" applyFont="1" applyFill="1" applyBorder="1" applyAlignment="1">
      <alignment vertical="center"/>
    </xf>
    <xf numFmtId="178" fontId="163" fillId="7" borderId="106" xfId="26" applyNumberFormat="1" applyFont="1" applyFill="1" applyBorder="1" applyAlignment="1">
      <alignment horizontal="right"/>
    </xf>
    <xf numFmtId="178" fontId="163" fillId="66" borderId="98" xfId="26" applyNumberFormat="1" applyFont="1" applyFill="1" applyBorder="1" applyAlignment="1">
      <alignment horizontal="right"/>
    </xf>
    <xf numFmtId="178" fontId="163" fillId="7" borderId="102" xfId="26" applyNumberFormat="1" applyFont="1" applyFill="1" applyBorder="1" applyAlignment="1">
      <alignment horizontal="right"/>
    </xf>
    <xf numFmtId="178" fontId="163" fillId="66" borderId="99" xfId="26" applyNumberFormat="1" applyFont="1" applyFill="1" applyBorder="1" applyAlignment="1">
      <alignment horizontal="right"/>
    </xf>
    <xf numFmtId="178" fontId="169" fillId="7" borderId="243" xfId="0" applyNumberFormat="1" applyFont="1" applyFill="1" applyBorder="1" applyAlignment="1">
      <alignment vertical="center" shrinkToFit="1"/>
    </xf>
    <xf numFmtId="178" fontId="163" fillId="7" borderId="243" xfId="0" applyNumberFormat="1" applyFont="1" applyFill="1" applyBorder="1" applyAlignment="1">
      <alignment vertical="center" shrinkToFit="1"/>
    </xf>
    <xf numFmtId="178" fontId="163" fillId="7" borderId="258" xfId="26" applyNumberFormat="1" applyFont="1" applyFill="1" applyBorder="1" applyAlignment="1">
      <alignment horizontal="right"/>
    </xf>
    <xf numFmtId="0" fontId="212" fillId="7" borderId="0" xfId="0" applyFont="1" applyFill="1" applyAlignment="1">
      <alignment horizontal="right"/>
    </xf>
    <xf numFmtId="0" fontId="194" fillId="7" borderId="0" xfId="0" applyFont="1" applyFill="1" applyAlignment="1">
      <alignment vertical="center"/>
    </xf>
    <xf numFmtId="0" fontId="43" fillId="7" borderId="0" xfId="0" applyFont="1" applyFill="1" applyAlignment="1">
      <alignment vertical="center" shrinkToFit="1"/>
    </xf>
    <xf numFmtId="49" fontId="43" fillId="7" borderId="0" xfId="0" applyNumberFormat="1" applyFont="1" applyFill="1" applyAlignment="1">
      <alignment horizontal="center" vertical="center"/>
    </xf>
    <xf numFmtId="0" fontId="198" fillId="0" borderId="0" xfId="0" applyFont="1"/>
    <xf numFmtId="0" fontId="44" fillId="0" borderId="0" xfId="0" applyFont="1"/>
    <xf numFmtId="0" fontId="44" fillId="0" borderId="0" xfId="0" applyFont="1" applyAlignment="1">
      <alignment vertical="top" wrapText="1"/>
    </xf>
    <xf numFmtId="180" fontId="43" fillId="7" borderId="0" xfId="26" applyNumberFormat="1" applyFont="1" applyFill="1" applyAlignment="1">
      <alignment vertical="center"/>
    </xf>
    <xf numFmtId="0" fontId="156" fillId="7" borderId="0" xfId="61" applyFont="1" applyFill="1"/>
    <xf numFmtId="0" fontId="160" fillId="7" borderId="0" xfId="61" applyFont="1" applyFill="1" applyAlignment="1">
      <alignment horizontal="center" vertical="top"/>
    </xf>
    <xf numFmtId="55" fontId="161" fillId="7" borderId="0" xfId="61" quotePrefix="1" applyNumberFormat="1" applyFont="1" applyFill="1" applyAlignment="1">
      <alignment horizontal="center"/>
    </xf>
    <xf numFmtId="0" fontId="170" fillId="7" borderId="243" xfId="0" applyFont="1" applyFill="1" applyBorder="1" applyAlignment="1">
      <alignment horizontal="left" vertical="center"/>
    </xf>
    <xf numFmtId="38" fontId="170" fillId="7" borderId="54" xfId="26" applyFont="1" applyFill="1" applyBorder="1" applyAlignment="1">
      <alignment vertical="center"/>
    </xf>
    <xf numFmtId="179" fontId="170" fillId="7" borderId="54" xfId="26" applyNumberFormat="1" applyFont="1" applyFill="1" applyBorder="1" applyAlignment="1">
      <alignment vertical="center"/>
    </xf>
    <xf numFmtId="176" fontId="163" fillId="66" borderId="15" xfId="26" applyNumberFormat="1" applyFont="1" applyFill="1" applyBorder="1" applyAlignment="1">
      <alignment horizontal="right" vertical="center"/>
    </xf>
    <xf numFmtId="179" fontId="163" fillId="66" borderId="15" xfId="26" applyNumberFormat="1" applyFont="1" applyFill="1" applyBorder="1" applyAlignment="1">
      <alignment horizontal="right" vertical="center"/>
    </xf>
    <xf numFmtId="180" fontId="163" fillId="7" borderId="7" xfId="0" applyNumberFormat="1" applyFont="1" applyFill="1" applyBorder="1" applyAlignment="1">
      <alignment vertical="center"/>
    </xf>
    <xf numFmtId="180" fontId="163" fillId="7" borderId="119" xfId="0" applyNumberFormat="1" applyFont="1" applyFill="1" applyBorder="1" applyAlignment="1">
      <alignment vertical="center"/>
    </xf>
    <xf numFmtId="180" fontId="163" fillId="7" borderId="106" xfId="26" applyNumberFormat="1" applyFont="1" applyFill="1" applyBorder="1" applyAlignment="1">
      <alignment vertical="center"/>
    </xf>
    <xf numFmtId="180" fontId="163" fillId="7" borderId="106" xfId="0" applyNumberFormat="1" applyFont="1" applyFill="1" applyBorder="1" applyAlignment="1">
      <alignment vertical="center"/>
    </xf>
    <xf numFmtId="180" fontId="163" fillId="7" borderId="106" xfId="26" applyNumberFormat="1" applyFont="1" applyFill="1" applyBorder="1" applyAlignment="1">
      <alignment vertical="center" shrinkToFit="1"/>
    </xf>
    <xf numFmtId="180" fontId="163" fillId="7" borderId="264" xfId="0" applyNumberFormat="1" applyFont="1" applyFill="1" applyBorder="1" applyAlignment="1">
      <alignment vertical="center"/>
    </xf>
    <xf numFmtId="180" fontId="163" fillId="66" borderId="0" xfId="26" applyNumberFormat="1" applyFont="1" applyFill="1" applyBorder="1" applyAlignment="1">
      <alignment vertical="center"/>
    </xf>
    <xf numFmtId="180" fontId="163" fillId="66" borderId="0" xfId="0" applyNumberFormat="1" applyFont="1" applyFill="1" applyAlignment="1">
      <alignment vertical="center"/>
    </xf>
    <xf numFmtId="180" fontId="163" fillId="66" borderId="0" xfId="26" applyNumberFormat="1" applyFont="1" applyFill="1" applyBorder="1" applyAlignment="1">
      <alignment vertical="center" shrinkToFit="1"/>
    </xf>
    <xf numFmtId="180" fontId="163" fillId="7" borderId="0" xfId="26" applyNumberFormat="1" applyFont="1" applyFill="1" applyBorder="1" applyAlignment="1">
      <alignment vertical="center" shrinkToFit="1"/>
    </xf>
    <xf numFmtId="180" fontId="163" fillId="7" borderId="9" xfId="0" applyNumberFormat="1" applyFont="1" applyFill="1" applyBorder="1" applyAlignment="1">
      <alignment vertical="center"/>
    </xf>
    <xf numFmtId="180" fontId="163" fillId="7" borderId="265" xfId="0" applyNumberFormat="1" applyFont="1" applyFill="1" applyBorder="1" applyAlignment="1">
      <alignment vertical="center"/>
    </xf>
    <xf numFmtId="180" fontId="163" fillId="66" borderId="15" xfId="26" applyNumberFormat="1" applyFont="1" applyFill="1" applyBorder="1" applyAlignment="1">
      <alignment vertical="center"/>
    </xf>
    <xf numFmtId="180" fontId="163" fillId="66" borderId="15" xfId="0" applyNumberFormat="1" applyFont="1" applyFill="1" applyBorder="1" applyAlignment="1">
      <alignment vertical="center"/>
    </xf>
    <xf numFmtId="180" fontId="163" fillId="66" borderId="15" xfId="26" applyNumberFormat="1" applyFont="1" applyFill="1" applyBorder="1" applyAlignment="1">
      <alignment vertical="center" shrinkToFit="1"/>
    </xf>
    <xf numFmtId="180" fontId="163" fillId="7" borderId="7" xfId="26" applyNumberFormat="1" applyFont="1" applyFill="1" applyBorder="1" applyAlignment="1">
      <alignment vertical="center"/>
    </xf>
    <xf numFmtId="180" fontId="163" fillId="7" borderId="119" xfId="26" applyNumberFormat="1" applyFont="1" applyFill="1" applyBorder="1" applyAlignment="1">
      <alignment vertical="center"/>
    </xf>
    <xf numFmtId="180" fontId="163" fillId="7" borderId="98" xfId="0" applyNumberFormat="1" applyFont="1" applyFill="1" applyBorder="1" applyAlignment="1">
      <alignment vertical="center"/>
    </xf>
    <xf numFmtId="180" fontId="163" fillId="7" borderId="98" xfId="26" applyNumberFormat="1" applyFont="1" applyFill="1" applyBorder="1" applyAlignment="1">
      <alignment vertical="center"/>
    </xf>
    <xf numFmtId="180" fontId="163" fillId="7" borderId="150" xfId="0" applyNumberFormat="1" applyFont="1" applyFill="1" applyBorder="1" applyAlignment="1">
      <alignment vertical="center"/>
    </xf>
    <xf numFmtId="180" fontId="163" fillId="66" borderId="264" xfId="26" applyNumberFormat="1" applyFont="1" applyFill="1" applyBorder="1" applyAlignment="1">
      <alignment vertical="center"/>
    </xf>
    <xf numFmtId="180" fontId="163" fillId="7" borderId="264" xfId="26" applyNumberFormat="1" applyFont="1" applyFill="1" applyBorder="1" applyAlignment="1">
      <alignment vertical="center"/>
    </xf>
    <xf numFmtId="180" fontId="163" fillId="7" borderId="263" xfId="0" applyNumberFormat="1" applyFont="1" applyFill="1" applyBorder="1" applyAlignment="1">
      <alignment vertical="center"/>
    </xf>
    <xf numFmtId="180" fontId="163" fillId="7" borderId="150" xfId="26" applyNumberFormat="1" applyFont="1" applyFill="1" applyBorder="1" applyAlignment="1">
      <alignment vertical="center"/>
    </xf>
    <xf numFmtId="180" fontId="163" fillId="7" borderId="263" xfId="26" applyNumberFormat="1" applyFont="1" applyFill="1" applyBorder="1" applyAlignment="1">
      <alignment vertical="center"/>
    </xf>
    <xf numFmtId="180" fontId="163" fillId="66" borderId="101" xfId="0" applyNumberFormat="1" applyFont="1" applyFill="1" applyBorder="1" applyAlignment="1">
      <alignment vertical="center"/>
    </xf>
    <xf numFmtId="180" fontId="163" fillId="66" borderId="102" xfId="26" applyNumberFormat="1" applyFont="1" applyFill="1" applyBorder="1" applyAlignment="1">
      <alignment vertical="center"/>
    </xf>
    <xf numFmtId="180" fontId="163" fillId="66" borderId="102" xfId="0" applyNumberFormat="1" applyFont="1" applyFill="1" applyBorder="1" applyAlignment="1">
      <alignment vertical="center"/>
    </xf>
    <xf numFmtId="180" fontId="163" fillId="7" borderId="75" xfId="0" applyNumberFormat="1" applyFont="1" applyFill="1" applyBorder="1" applyAlignment="1">
      <alignment vertical="center"/>
    </xf>
    <xf numFmtId="180" fontId="163" fillId="7" borderId="258" xfId="26" applyNumberFormat="1" applyFont="1" applyFill="1" applyBorder="1" applyAlignment="1">
      <alignment vertical="center"/>
    </xf>
    <xf numFmtId="180" fontId="163" fillId="7" borderId="15" xfId="26" applyNumberFormat="1" applyFont="1" applyFill="1" applyBorder="1" applyAlignment="1">
      <alignment vertical="center"/>
    </xf>
    <xf numFmtId="180" fontId="163" fillId="7" borderId="15" xfId="0" applyNumberFormat="1" applyFont="1" applyFill="1" applyBorder="1" applyAlignment="1">
      <alignment vertical="center"/>
    </xf>
    <xf numFmtId="180" fontId="163" fillId="7" borderId="15" xfId="26" applyNumberFormat="1" applyFont="1" applyFill="1" applyBorder="1" applyAlignment="1">
      <alignment vertical="center" shrinkToFit="1"/>
    </xf>
    <xf numFmtId="180" fontId="163" fillId="7" borderId="54" xfId="0" applyNumberFormat="1" applyFont="1" applyFill="1" applyBorder="1" applyAlignment="1">
      <alignment vertical="center"/>
    </xf>
    <xf numFmtId="180" fontId="163" fillId="7" borderId="243" xfId="0" applyNumberFormat="1" applyFont="1" applyFill="1" applyBorder="1" applyAlignment="1">
      <alignment vertical="center"/>
    </xf>
    <xf numFmtId="180" fontId="163" fillId="7" borderId="243" xfId="26" applyNumberFormat="1" applyFont="1" applyFill="1" applyBorder="1" applyAlignment="1">
      <alignment vertical="center"/>
    </xf>
    <xf numFmtId="180" fontId="163" fillId="7" borderId="2" xfId="26" applyNumberFormat="1" applyFont="1" applyFill="1" applyBorder="1" applyAlignment="1">
      <alignment vertical="center"/>
    </xf>
    <xf numFmtId="180" fontId="163" fillId="7" borderId="53" xfId="0" applyNumberFormat="1" applyFont="1" applyFill="1" applyBorder="1" applyAlignment="1">
      <alignment vertical="center"/>
    </xf>
    <xf numFmtId="180" fontId="163" fillId="7" borderId="106" xfId="0" applyNumberFormat="1" applyFont="1" applyFill="1" applyBorder="1" applyAlignment="1">
      <alignment vertical="center" shrinkToFit="1"/>
    </xf>
    <xf numFmtId="180" fontId="163" fillId="7" borderId="2" xfId="0" applyNumberFormat="1" applyFont="1" applyFill="1" applyBorder="1" applyAlignment="1">
      <alignment vertical="center"/>
    </xf>
    <xf numFmtId="180" fontId="163" fillId="7" borderId="258" xfId="26" applyNumberFormat="1" applyFont="1" applyFill="1" applyBorder="1" applyAlignment="1">
      <alignment vertical="center" shrinkToFit="1"/>
    </xf>
    <xf numFmtId="180" fontId="218" fillId="7" borderId="243" xfId="0" applyNumberFormat="1" applyFont="1" applyFill="1" applyBorder="1" applyAlignment="1">
      <alignment vertical="center"/>
    </xf>
    <xf numFmtId="180" fontId="220" fillId="7" borderId="0" xfId="0" applyNumberFormat="1" applyFont="1" applyFill="1" applyAlignment="1">
      <alignment vertical="center"/>
    </xf>
    <xf numFmtId="178" fontId="220" fillId="7" borderId="243" xfId="26" applyNumberFormat="1" applyFont="1" applyFill="1" applyBorder="1" applyAlignment="1">
      <alignment horizontal="right" vertical="center"/>
    </xf>
    <xf numFmtId="179" fontId="220" fillId="7" borderId="243" xfId="0" applyNumberFormat="1" applyFont="1" applyFill="1" applyBorder="1" applyAlignment="1">
      <alignment horizontal="right" vertical="center"/>
    </xf>
    <xf numFmtId="178" fontId="220" fillId="7" borderId="106" xfId="26" applyNumberFormat="1" applyFont="1" applyFill="1" applyBorder="1" applyAlignment="1">
      <alignment horizontal="right" vertical="center"/>
    </xf>
    <xf numFmtId="179" fontId="220" fillId="7" borderId="106" xfId="0" applyNumberFormat="1" applyFont="1" applyFill="1" applyBorder="1" applyAlignment="1">
      <alignment horizontal="right" vertical="center"/>
    </xf>
    <xf numFmtId="178" fontId="220" fillId="66" borderId="0" xfId="26" applyNumberFormat="1" applyFont="1" applyFill="1" applyBorder="1" applyAlignment="1">
      <alignment horizontal="right" vertical="center"/>
    </xf>
    <xf numFmtId="179" fontId="220" fillId="66" borderId="0" xfId="0" applyNumberFormat="1" applyFont="1" applyFill="1" applyAlignment="1">
      <alignment horizontal="right" vertical="center"/>
    </xf>
    <xf numFmtId="178" fontId="220" fillId="7" borderId="0" xfId="26" applyNumberFormat="1" applyFont="1" applyFill="1" applyBorder="1" applyAlignment="1">
      <alignment horizontal="right" vertical="center"/>
    </xf>
    <xf numFmtId="179" fontId="220" fillId="7" borderId="0" xfId="0" applyNumberFormat="1" applyFont="1" applyFill="1" applyAlignment="1">
      <alignment horizontal="right" vertical="center"/>
    </xf>
    <xf numFmtId="178" fontId="220" fillId="66" borderId="15" xfId="26" applyNumberFormat="1" applyFont="1" applyFill="1" applyBorder="1" applyAlignment="1">
      <alignment horizontal="right" vertical="center"/>
    </xf>
    <xf numFmtId="179" fontId="220" fillId="66" borderId="15" xfId="0" applyNumberFormat="1" applyFont="1" applyFill="1" applyBorder="1" applyAlignment="1">
      <alignment horizontal="right" vertical="center"/>
    </xf>
    <xf numFmtId="178" fontId="220" fillId="7" borderId="98" xfId="26" applyNumberFormat="1" applyFont="1" applyFill="1" applyBorder="1" applyAlignment="1">
      <alignment horizontal="right" vertical="center"/>
    </xf>
    <xf numFmtId="179" fontId="220" fillId="7" borderId="98" xfId="0" applyNumberFormat="1" applyFont="1" applyFill="1" applyBorder="1" applyAlignment="1">
      <alignment horizontal="right" vertical="center"/>
    </xf>
    <xf numFmtId="178" fontId="220" fillId="66" borderId="102" xfId="26" applyNumberFormat="1" applyFont="1" applyFill="1" applyBorder="1" applyAlignment="1">
      <alignment horizontal="right" vertical="center"/>
    </xf>
    <xf numFmtId="179" fontId="220" fillId="66" borderId="102" xfId="0" applyNumberFormat="1" applyFont="1" applyFill="1" applyBorder="1" applyAlignment="1">
      <alignment horizontal="right" vertical="center"/>
    </xf>
    <xf numFmtId="180" fontId="220" fillId="7" borderId="258" xfId="26" applyNumberFormat="1" applyFont="1" applyFill="1" applyBorder="1" applyAlignment="1">
      <alignment vertical="center"/>
    </xf>
    <xf numFmtId="180" fontId="220" fillId="7" borderId="15" xfId="26" applyNumberFormat="1" applyFont="1" applyFill="1" applyBorder="1" applyAlignment="1">
      <alignment vertical="center"/>
    </xf>
    <xf numFmtId="178" fontId="220" fillId="7" borderId="15" xfId="26" applyNumberFormat="1" applyFont="1" applyFill="1" applyBorder="1" applyAlignment="1">
      <alignment horizontal="right" vertical="center"/>
    </xf>
    <xf numFmtId="179" fontId="220" fillId="7" borderId="15" xfId="0" applyNumberFormat="1" applyFont="1" applyFill="1" applyBorder="1" applyAlignment="1">
      <alignment horizontal="right" vertical="center"/>
    </xf>
    <xf numFmtId="180" fontId="220" fillId="7" borderId="45" xfId="0" applyNumberFormat="1" applyFont="1" applyFill="1" applyBorder="1" applyAlignment="1">
      <alignment vertical="center"/>
    </xf>
    <xf numFmtId="178" fontId="220" fillId="7" borderId="258" xfId="26" applyNumberFormat="1" applyFont="1" applyFill="1" applyBorder="1" applyAlignment="1">
      <alignment horizontal="right" vertical="center"/>
    </xf>
    <xf numFmtId="179" fontId="220" fillId="7" borderId="258" xfId="0" applyNumberFormat="1" applyFont="1" applyFill="1" applyBorder="1" applyAlignment="1">
      <alignment horizontal="right" vertical="center"/>
    </xf>
    <xf numFmtId="49" fontId="169" fillId="68" borderId="274" xfId="0" applyNumberFormat="1" applyFont="1" applyFill="1" applyBorder="1" applyAlignment="1">
      <alignment horizontal="center" vertical="center"/>
    </xf>
    <xf numFmtId="0" fontId="169" fillId="68" borderId="268" xfId="0" applyFont="1" applyFill="1" applyBorder="1" applyAlignment="1">
      <alignment horizontal="center" vertical="center" wrapText="1"/>
    </xf>
    <xf numFmtId="38" fontId="169" fillId="68" borderId="268" xfId="26" applyFont="1" applyFill="1" applyBorder="1" applyAlignment="1">
      <alignment vertical="center"/>
    </xf>
    <xf numFmtId="38" fontId="169" fillId="68" borderId="268" xfId="26" applyFont="1" applyFill="1" applyBorder="1" applyAlignment="1">
      <alignment horizontal="center" vertical="center"/>
    </xf>
    <xf numFmtId="186" fontId="169" fillId="68" borderId="275" xfId="18" applyNumberFormat="1" applyFont="1" applyFill="1" applyBorder="1" applyAlignment="1">
      <alignment horizontal="center" vertical="center"/>
    </xf>
    <xf numFmtId="49" fontId="169" fillId="68" borderId="278" xfId="0" applyNumberFormat="1" applyFont="1" applyFill="1" applyBorder="1" applyAlignment="1">
      <alignment horizontal="center" vertical="center"/>
    </xf>
    <xf numFmtId="0" fontId="169" fillId="68" borderId="273" xfId="0" applyFont="1" applyFill="1" applyBorder="1" applyAlignment="1">
      <alignment horizontal="center" vertical="center" wrapText="1"/>
    </xf>
    <xf numFmtId="38" fontId="169" fillId="68" borderId="273" xfId="26" applyFont="1" applyFill="1" applyBorder="1" applyAlignment="1">
      <alignment vertical="center"/>
    </xf>
    <xf numFmtId="38" fontId="169" fillId="68" borderId="273" xfId="26" applyFont="1" applyFill="1" applyBorder="1" applyAlignment="1">
      <alignment horizontal="center" vertical="center"/>
    </xf>
    <xf numFmtId="186" fontId="169" fillId="68" borderId="279" xfId="18" applyNumberFormat="1" applyFont="1" applyFill="1" applyBorder="1" applyAlignment="1">
      <alignment horizontal="center" vertical="center"/>
    </xf>
    <xf numFmtId="0" fontId="171" fillId="7" borderId="0" xfId="59" applyFont="1" applyFill="1" applyAlignment="1">
      <alignment horizontal="left" wrapText="1"/>
    </xf>
    <xf numFmtId="0" fontId="170" fillId="7" borderId="0" xfId="59" applyFont="1" applyFill="1" applyAlignment="1">
      <alignment horizontal="left" wrapText="1"/>
    </xf>
    <xf numFmtId="0" fontId="170" fillId="7" borderId="15" xfId="59" applyFont="1" applyFill="1" applyBorder="1" applyAlignment="1">
      <alignment horizontal="left" wrapText="1"/>
    </xf>
    <xf numFmtId="38" fontId="169" fillId="68" borderId="273" xfId="26" applyFont="1" applyFill="1" applyBorder="1" applyAlignment="1">
      <alignment vertical="center" shrinkToFit="1"/>
    </xf>
    <xf numFmtId="0" fontId="222" fillId="7" borderId="15" xfId="59" applyFont="1" applyFill="1" applyBorder="1" applyAlignment="1">
      <alignment horizontal="left" wrapText="1"/>
    </xf>
    <xf numFmtId="180" fontId="223" fillId="7" borderId="0" xfId="26" applyNumberFormat="1" applyFont="1" applyFill="1" applyBorder="1" applyAlignment="1">
      <alignment vertical="center"/>
    </xf>
    <xf numFmtId="0" fontId="188" fillId="69" borderId="251" xfId="0" applyFont="1" applyFill="1" applyBorder="1" applyAlignment="1">
      <alignment horizontal="center" vertical="center"/>
    </xf>
    <xf numFmtId="180" fontId="176" fillId="7" borderId="0" xfId="0" applyNumberFormat="1" applyFont="1" applyFill="1"/>
    <xf numFmtId="0" fontId="195" fillId="7" borderId="0" xfId="59" applyFont="1" applyFill="1" applyAlignment="1">
      <alignment horizontal="left"/>
    </xf>
    <xf numFmtId="0" fontId="208" fillId="7" borderId="0" xfId="59" applyFont="1" applyFill="1" applyAlignment="1">
      <alignment horizontal="left"/>
    </xf>
    <xf numFmtId="192" fontId="43" fillId="7" borderId="0" xfId="26" applyNumberFormat="1" applyFont="1" applyFill="1" applyBorder="1"/>
    <xf numFmtId="192" fontId="43" fillId="7" borderId="0" xfId="59" applyNumberFormat="1" applyFont="1" applyFill="1"/>
    <xf numFmtId="0" fontId="43" fillId="7" borderId="292" xfId="59" applyFont="1" applyFill="1" applyBorder="1" applyAlignment="1">
      <alignment horizontal="left"/>
    </xf>
    <xf numFmtId="0" fontId="43" fillId="7" borderId="293" xfId="59" applyFont="1" applyFill="1" applyBorder="1"/>
    <xf numFmtId="0" fontId="43" fillId="7" borderId="294" xfId="59" applyFont="1" applyFill="1" applyBorder="1"/>
    <xf numFmtId="0" fontId="188" fillId="69" borderId="252" xfId="0" applyFont="1" applyFill="1" applyBorder="1" applyAlignment="1">
      <alignment horizontal="center" vertical="center"/>
    </xf>
    <xf numFmtId="0" fontId="44" fillId="7" borderId="258" xfId="59" applyFont="1" applyFill="1" applyBorder="1"/>
    <xf numFmtId="0" fontId="44" fillId="7" borderId="0" xfId="59" applyFont="1" applyFill="1"/>
    <xf numFmtId="184" fontId="44" fillId="7" borderId="258" xfId="26" applyNumberFormat="1" applyFont="1" applyFill="1" applyBorder="1"/>
    <xf numFmtId="186" fontId="44" fillId="7" borderId="0" xfId="26" applyNumberFormat="1" applyFont="1" applyFill="1" applyBorder="1" applyAlignment="1">
      <alignment horizontal="right"/>
    </xf>
    <xf numFmtId="186" fontId="44" fillId="7" borderId="258" xfId="26" applyNumberFormat="1" applyFont="1" applyFill="1" applyBorder="1" applyAlignment="1">
      <alignment horizontal="right"/>
    </xf>
    <xf numFmtId="0" fontId="226" fillId="7" borderId="0" xfId="59" applyFont="1" applyFill="1"/>
    <xf numFmtId="38" fontId="185" fillId="7" borderId="0" xfId="26" applyFont="1" applyFill="1" applyBorder="1" applyAlignment="1">
      <alignment vertical="center"/>
    </xf>
    <xf numFmtId="0" fontId="225" fillId="66" borderId="293" xfId="59" applyFont="1" applyFill="1" applyBorder="1"/>
    <xf numFmtId="0" fontId="44" fillId="66" borderId="293" xfId="59" applyFont="1" applyFill="1" applyBorder="1"/>
    <xf numFmtId="38" fontId="44" fillId="66" borderId="293" xfId="26" applyFont="1" applyFill="1" applyBorder="1"/>
    <xf numFmtId="184" fontId="44" fillId="66" borderId="293" xfId="26" applyNumberFormat="1" applyFont="1" applyFill="1" applyBorder="1" applyAlignment="1">
      <alignment horizontal="right"/>
    </xf>
    <xf numFmtId="186" fontId="44" fillId="66" borderId="293" xfId="26" applyNumberFormat="1" applyFont="1" applyFill="1" applyBorder="1" applyAlignment="1">
      <alignment horizontal="right"/>
    </xf>
    <xf numFmtId="0" fontId="225" fillId="7" borderId="0" xfId="59" applyFont="1" applyFill="1"/>
    <xf numFmtId="38" fontId="44" fillId="7" borderId="0" xfId="26" applyFont="1" applyFill="1" applyBorder="1"/>
    <xf numFmtId="184" fontId="44" fillId="7" borderId="0" xfId="26" applyNumberFormat="1" applyFont="1" applyFill="1" applyBorder="1" applyAlignment="1">
      <alignment horizontal="right"/>
    </xf>
    <xf numFmtId="38" fontId="44" fillId="7" borderId="0" xfId="26" applyFont="1" applyFill="1" applyBorder="1" applyAlignment="1">
      <alignment horizontal="right"/>
    </xf>
    <xf numFmtId="203" fontId="44" fillId="7" borderId="0" xfId="26" applyNumberFormat="1" applyFont="1" applyFill="1" applyBorder="1" applyAlignment="1">
      <alignment horizontal="right"/>
    </xf>
    <xf numFmtId="0" fontId="44" fillId="7" borderId="0" xfId="26" applyNumberFormat="1" applyFont="1" applyFill="1" applyBorder="1" applyAlignment="1">
      <alignment horizontal="right"/>
    </xf>
    <xf numFmtId="0" fontId="225" fillId="66" borderId="0" xfId="59" applyFont="1" applyFill="1"/>
    <xf numFmtId="0" fontId="44" fillId="66" borderId="0" xfId="59" applyFont="1" applyFill="1"/>
    <xf numFmtId="38" fontId="44" fillId="66" borderId="0" xfId="26" applyFont="1" applyFill="1" applyBorder="1"/>
    <xf numFmtId="184" fontId="44" fillId="66" borderId="0" xfId="26" applyNumberFormat="1" applyFont="1" applyFill="1" applyBorder="1" applyAlignment="1">
      <alignment horizontal="right"/>
    </xf>
    <xf numFmtId="186" fontId="44" fillId="66" borderId="0" xfId="26" applyNumberFormat="1" applyFont="1" applyFill="1" applyBorder="1" applyAlignment="1">
      <alignment horizontal="right"/>
    </xf>
    <xf numFmtId="0" fontId="44" fillId="66" borderId="0" xfId="59" applyFont="1" applyFill="1" applyAlignment="1">
      <alignment horizontal="right"/>
    </xf>
    <xf numFmtId="38" fontId="44" fillId="66" borderId="0" xfId="26" applyFont="1" applyFill="1" applyBorder="1" applyAlignment="1">
      <alignment horizontal="right"/>
    </xf>
    <xf numFmtId="0" fontId="225" fillId="70" borderId="15" xfId="59" applyFont="1" applyFill="1" applyBorder="1"/>
    <xf numFmtId="0" fontId="44" fillId="70" borderId="15" xfId="59" applyFont="1" applyFill="1" applyBorder="1"/>
    <xf numFmtId="38" fontId="44" fillId="70" borderId="15" xfId="59" applyNumberFormat="1" applyFont="1" applyFill="1" applyBorder="1"/>
    <xf numFmtId="184" fontId="44" fillId="70" borderId="15" xfId="26" applyNumberFormat="1" applyFont="1" applyFill="1" applyBorder="1" applyAlignment="1">
      <alignment horizontal="right"/>
    </xf>
    <xf numFmtId="186" fontId="44" fillId="70" borderId="15" xfId="26" applyNumberFormat="1" applyFont="1" applyFill="1" applyBorder="1" applyAlignment="1">
      <alignment horizontal="right"/>
    </xf>
    <xf numFmtId="0" fontId="20" fillId="0" borderId="0" xfId="60" applyFont="1"/>
    <xf numFmtId="0" fontId="7" fillId="0" borderId="0" xfId="60"/>
    <xf numFmtId="0" fontId="19" fillId="0" borderId="0" xfId="60" applyFont="1" applyAlignment="1">
      <alignment horizontal="right"/>
    </xf>
    <xf numFmtId="191" fontId="34" fillId="0" borderId="0" xfId="60" applyNumberFormat="1" applyFont="1" applyAlignment="1">
      <alignment horizontal="right"/>
    </xf>
    <xf numFmtId="0" fontId="20" fillId="0" borderId="21" xfId="60" applyFont="1" applyBorder="1" applyAlignment="1">
      <alignment horizontal="center" vertical="center"/>
    </xf>
    <xf numFmtId="0" fontId="20" fillId="0" borderId="24" xfId="60" applyFont="1" applyBorder="1" applyAlignment="1">
      <alignment horizontal="center" vertical="center"/>
    </xf>
    <xf numFmtId="0" fontId="20" fillId="0" borderId="8" xfId="60" applyFont="1" applyBorder="1" applyAlignment="1">
      <alignment horizontal="right"/>
    </xf>
    <xf numFmtId="38" fontId="18" fillId="0" borderId="295" xfId="26" applyFont="1" applyFill="1" applyBorder="1"/>
    <xf numFmtId="179" fontId="18" fillId="0" borderId="35" xfId="26" applyNumberFormat="1" applyFont="1" applyBorder="1"/>
    <xf numFmtId="0" fontId="20" fillId="0" borderId="36" xfId="60" applyFont="1" applyBorder="1" applyAlignment="1">
      <alignment horizontal="right"/>
    </xf>
    <xf numFmtId="38" fontId="18" fillId="0" borderId="68" xfId="26" applyFont="1" applyFill="1" applyBorder="1"/>
    <xf numFmtId="179" fontId="18" fillId="0" borderId="37" xfId="26" applyNumberFormat="1" applyFont="1" applyBorder="1"/>
    <xf numFmtId="0" fontId="20" fillId="0" borderId="38" xfId="60" applyFont="1" applyBorder="1" applyAlignment="1">
      <alignment horizontal="right"/>
    </xf>
    <xf numFmtId="38" fontId="18" fillId="0" borderId="50" xfId="26" applyFont="1" applyBorder="1"/>
    <xf numFmtId="38" fontId="18" fillId="0" borderId="28" xfId="26" applyFont="1" applyBorder="1"/>
    <xf numFmtId="179" fontId="18" fillId="0" borderId="39" xfId="26" applyNumberFormat="1" applyFont="1" applyBorder="1"/>
    <xf numFmtId="0" fontId="20" fillId="0" borderId="0" xfId="60" applyFont="1" applyAlignment="1">
      <alignment horizontal="center"/>
    </xf>
    <xf numFmtId="176" fontId="18" fillId="0" borderId="0" xfId="60" applyNumberFormat="1" applyFont="1"/>
    <xf numFmtId="191" fontId="18" fillId="0" borderId="0" xfId="60" applyNumberFormat="1" applyFont="1" applyAlignment="1">
      <alignment horizontal="center"/>
    </xf>
    <xf numFmtId="38" fontId="18" fillId="0" borderId="0" xfId="26" applyFont="1" applyFill="1" applyBorder="1"/>
    <xf numFmtId="38" fontId="18" fillId="0" borderId="98" xfId="26" applyFont="1" applyFill="1" applyBorder="1"/>
    <xf numFmtId="38" fontId="18" fillId="0" borderId="15" xfId="26" applyFont="1" applyBorder="1"/>
    <xf numFmtId="38" fontId="18" fillId="0" borderId="296" xfId="26" applyFont="1" applyBorder="1"/>
    <xf numFmtId="38" fontId="18" fillId="0" borderId="14" xfId="26" applyFont="1" applyFill="1" applyBorder="1"/>
    <xf numFmtId="0" fontId="20" fillId="0" borderId="24" xfId="60" applyFont="1" applyBorder="1" applyAlignment="1">
      <alignment horizontal="center" vertical="center" wrapText="1"/>
    </xf>
    <xf numFmtId="179" fontId="18" fillId="0" borderId="35" xfId="26" applyNumberFormat="1" applyFont="1" applyFill="1" applyBorder="1" applyAlignment="1"/>
    <xf numFmtId="179" fontId="18" fillId="0" borderId="37" xfId="26" applyNumberFormat="1" applyFont="1" applyFill="1" applyBorder="1" applyAlignment="1"/>
    <xf numFmtId="179" fontId="18" fillId="0" borderId="39" xfId="26" applyNumberFormat="1" applyFont="1" applyFill="1" applyBorder="1" applyAlignment="1"/>
    <xf numFmtId="0" fontId="43" fillId="7" borderId="186" xfId="60" applyFont="1" applyFill="1" applyBorder="1" applyAlignment="1">
      <alignment horizontal="center" vertical="center"/>
    </xf>
    <xf numFmtId="0" fontId="0" fillId="0" borderId="0" xfId="59" applyFont="1"/>
    <xf numFmtId="0" fontId="7" fillId="0" borderId="0" xfId="59"/>
    <xf numFmtId="0" fontId="0" fillId="0" borderId="254" xfId="59" applyFont="1" applyBorder="1"/>
    <xf numFmtId="38" fontId="7" fillId="0" borderId="254" xfId="26" applyBorder="1"/>
    <xf numFmtId="0" fontId="7" fillId="0" borderId="292" xfId="59" applyBorder="1"/>
    <xf numFmtId="0" fontId="12" fillId="0" borderId="293" xfId="22" applyBorder="1" applyAlignment="1" applyProtection="1"/>
    <xf numFmtId="0" fontId="7" fillId="0" borderId="293" xfId="59" applyBorder="1"/>
    <xf numFmtId="0" fontId="7" fillId="0" borderId="294" xfId="59" applyBorder="1"/>
    <xf numFmtId="0" fontId="7" fillId="0" borderId="9" xfId="59" applyBorder="1"/>
    <xf numFmtId="0" fontId="0" fillId="0" borderId="15" xfId="59" applyFont="1" applyBorder="1"/>
    <xf numFmtId="0" fontId="7" fillId="0" borderId="15" xfId="59" applyBorder="1"/>
    <xf numFmtId="0" fontId="7" fillId="0" borderId="56" xfId="59" applyBorder="1"/>
    <xf numFmtId="0" fontId="20" fillId="7" borderId="0" xfId="59" applyFont="1" applyFill="1"/>
    <xf numFmtId="38" fontId="43" fillId="71" borderId="0" xfId="26" applyFont="1" applyFill="1"/>
    <xf numFmtId="0" fontId="43" fillId="7" borderId="144" xfId="60" applyFont="1" applyFill="1" applyBorder="1" applyAlignment="1">
      <alignment horizontal="center" vertical="center"/>
    </xf>
    <xf numFmtId="0" fontId="43" fillId="7" borderId="203" xfId="60" applyFont="1" applyFill="1" applyBorder="1" applyAlignment="1">
      <alignment horizontal="center" vertical="center"/>
    </xf>
    <xf numFmtId="0" fontId="134" fillId="7" borderId="0" xfId="59" applyFont="1" applyFill="1" applyAlignment="1">
      <alignment vertical="center"/>
    </xf>
    <xf numFmtId="0" fontId="12" fillId="7" borderId="0" xfId="22" applyFill="1" applyAlignment="1" applyProtection="1"/>
    <xf numFmtId="0" fontId="43" fillId="7" borderId="0" xfId="61" applyFont="1" applyFill="1" applyAlignment="1">
      <alignment horizontal="right"/>
    </xf>
    <xf numFmtId="179" fontId="44" fillId="67" borderId="15" xfId="26" applyNumberFormat="1" applyFont="1" applyFill="1" applyBorder="1" applyAlignment="1">
      <alignment vertical="center"/>
    </xf>
    <xf numFmtId="179" fontId="44" fillId="67" borderId="0" xfId="26" applyNumberFormat="1" applyFont="1" applyFill="1" applyBorder="1" applyAlignment="1">
      <alignment vertical="center"/>
    </xf>
    <xf numFmtId="179" fontId="44" fillId="7" borderId="293" xfId="26" applyNumberFormat="1" applyFont="1" applyFill="1" applyBorder="1" applyAlignment="1">
      <alignment horizontal="right" vertical="center"/>
    </xf>
    <xf numFmtId="178" fontId="44" fillId="7" borderId="293" xfId="26" applyNumberFormat="1" applyFont="1" applyFill="1" applyBorder="1" applyAlignment="1">
      <alignment horizontal="right" vertical="center"/>
    </xf>
    <xf numFmtId="38" fontId="7" fillId="7" borderId="3" xfId="60" applyNumberFormat="1" applyFont="1" applyFill="1" applyBorder="1"/>
    <xf numFmtId="0" fontId="166" fillId="7" borderId="0" xfId="0" applyFont="1" applyFill="1" applyAlignment="1">
      <alignment vertical="center"/>
    </xf>
    <xf numFmtId="0" fontId="170" fillId="7" borderId="0" xfId="0" applyFont="1" applyFill="1" applyAlignment="1">
      <alignment vertical="center" wrapText="1"/>
    </xf>
    <xf numFmtId="0" fontId="170" fillId="7" borderId="293" xfId="0" applyFont="1" applyFill="1" applyBorder="1" applyAlignment="1">
      <alignment vertical="center" wrapText="1"/>
    </xf>
    <xf numFmtId="0" fontId="43" fillId="7" borderId="0" xfId="60" applyFont="1" applyFill="1" applyAlignment="1">
      <alignment horizontal="center" vertical="center"/>
    </xf>
    <xf numFmtId="0" fontId="170" fillId="7" borderId="0" xfId="61" applyFont="1" applyFill="1" applyAlignment="1">
      <alignment horizontal="left" vertical="center"/>
    </xf>
    <xf numFmtId="0" fontId="170" fillId="66" borderId="15" xfId="61" applyFont="1" applyFill="1" applyBorder="1" applyAlignment="1">
      <alignment horizontal="left" vertical="center"/>
    </xf>
    <xf numFmtId="49" fontId="20" fillId="7" borderId="255" xfId="60" applyNumberFormat="1" applyFont="1" applyFill="1" applyBorder="1" applyAlignment="1">
      <alignment horizontal="center" vertical="center"/>
    </xf>
    <xf numFmtId="49" fontId="20" fillId="7" borderId="292" xfId="60" applyNumberFormat="1" applyFont="1" applyFill="1" applyBorder="1" applyAlignment="1">
      <alignment horizontal="center" vertical="center"/>
    </xf>
    <xf numFmtId="49" fontId="20" fillId="7" borderId="298" xfId="60" applyNumberFormat="1" applyFont="1" applyFill="1" applyBorder="1" applyAlignment="1">
      <alignment horizontal="center" vertical="center"/>
    </xf>
    <xf numFmtId="178" fontId="18" fillId="7" borderId="255" xfId="26" applyNumberFormat="1" applyFont="1" applyFill="1" applyBorder="1" applyAlignment="1">
      <alignment horizontal="right"/>
    </xf>
    <xf numFmtId="178" fontId="18" fillId="7" borderId="298" xfId="26" applyNumberFormat="1" applyFont="1" applyFill="1" applyBorder="1" applyAlignment="1">
      <alignment horizontal="right"/>
    </xf>
    <xf numFmtId="0" fontId="20" fillId="7" borderId="255" xfId="0" applyFont="1" applyFill="1" applyBorder="1"/>
    <xf numFmtId="178" fontId="18" fillId="7" borderId="292" xfId="26" applyNumberFormat="1" applyFont="1" applyFill="1" applyBorder="1" applyAlignment="1">
      <alignment horizontal="right"/>
    </xf>
    <xf numFmtId="178" fontId="18" fillId="7" borderId="299" xfId="26" applyNumberFormat="1" applyFont="1" applyFill="1" applyBorder="1" applyAlignment="1">
      <alignment horizontal="right"/>
    </xf>
    <xf numFmtId="184" fontId="18" fillId="7" borderId="300" xfId="26" applyNumberFormat="1" applyFont="1" applyFill="1" applyBorder="1" applyAlignment="1">
      <alignment horizontal="right"/>
    </xf>
    <xf numFmtId="184" fontId="18" fillId="7" borderId="300" xfId="26" applyNumberFormat="1" applyFont="1" applyFill="1" applyBorder="1" applyAlignment="1"/>
    <xf numFmtId="0" fontId="43" fillId="7" borderId="254" xfId="60" applyFont="1" applyFill="1" applyBorder="1" applyAlignment="1">
      <alignment horizontal="right"/>
    </xf>
    <xf numFmtId="0" fontId="7" fillId="7" borderId="254" xfId="60" applyFill="1" applyBorder="1" applyAlignment="1">
      <alignment horizontal="right"/>
    </xf>
    <xf numFmtId="38" fontId="43" fillId="7" borderId="254" xfId="26" applyFont="1" applyFill="1" applyBorder="1" applyAlignment="1">
      <alignment horizontal="right" vertical="center"/>
    </xf>
    <xf numFmtId="0" fontId="7" fillId="7" borderId="254" xfId="60" applyFill="1" applyBorder="1"/>
    <xf numFmtId="179" fontId="7" fillId="7" borderId="254" xfId="60" applyNumberFormat="1" applyFill="1" applyBorder="1"/>
    <xf numFmtId="184" fontId="18" fillId="7" borderId="26" xfId="26" applyNumberFormat="1" applyFont="1" applyFill="1" applyBorder="1" applyAlignment="1">
      <alignment horizontal="right"/>
    </xf>
    <xf numFmtId="184" fontId="18" fillId="7" borderId="147" xfId="26" applyNumberFormat="1" applyFont="1" applyFill="1" applyBorder="1" applyAlignment="1">
      <alignment horizontal="right"/>
    </xf>
    <xf numFmtId="0" fontId="20" fillId="7" borderId="0" xfId="0" applyFont="1" applyFill="1" applyBorder="1" applyAlignment="1">
      <alignment vertical="top" wrapText="1"/>
    </xf>
    <xf numFmtId="200" fontId="18" fillId="7" borderId="0" xfId="26" applyNumberFormat="1" applyFont="1" applyFill="1" applyBorder="1" applyAlignment="1">
      <alignment horizontal="right"/>
    </xf>
    <xf numFmtId="200" fontId="18" fillId="7" borderId="0" xfId="26" applyNumberFormat="1" applyFont="1" applyFill="1" applyBorder="1"/>
    <xf numFmtId="0" fontId="20" fillId="7" borderId="0" xfId="0" applyFont="1" applyFill="1" applyBorder="1"/>
    <xf numFmtId="0" fontId="20" fillId="7" borderId="293" xfId="0" applyFont="1" applyFill="1" applyBorder="1" applyAlignment="1">
      <alignment vertical="top" wrapText="1"/>
    </xf>
    <xf numFmtId="200" fontId="18" fillId="7" borderId="293" xfId="26" applyNumberFormat="1" applyFont="1" applyFill="1" applyBorder="1" applyAlignment="1">
      <alignment horizontal="right"/>
    </xf>
    <xf numFmtId="200" fontId="18" fillId="7" borderId="293" xfId="26" applyNumberFormat="1" applyFont="1" applyFill="1" applyBorder="1"/>
    <xf numFmtId="184" fontId="18" fillId="7" borderId="293" xfId="26" applyNumberFormat="1" applyFont="1" applyFill="1" applyBorder="1" applyAlignment="1">
      <alignment horizontal="right"/>
    </xf>
    <xf numFmtId="180" fontId="16" fillId="7" borderId="286" xfId="0" applyNumberFormat="1" applyFont="1" applyFill="1" applyBorder="1"/>
    <xf numFmtId="180" fontId="23" fillId="7" borderId="258" xfId="0" applyNumberFormat="1" applyFont="1" applyFill="1" applyBorder="1"/>
    <xf numFmtId="180" fontId="23" fillId="7" borderId="301" xfId="0" applyNumberFormat="1" applyFont="1" applyFill="1" applyBorder="1"/>
    <xf numFmtId="49" fontId="9" fillId="7" borderId="255" xfId="0" applyNumberFormat="1" applyFont="1" applyFill="1" applyBorder="1" applyAlignment="1">
      <alignment horizontal="center" vertical="center"/>
    </xf>
    <xf numFmtId="49" fontId="9" fillId="7" borderId="292" xfId="0" applyNumberFormat="1" applyFont="1" applyFill="1" applyBorder="1" applyAlignment="1">
      <alignment horizontal="centerContinuous"/>
    </xf>
    <xf numFmtId="49" fontId="9" fillId="7" borderId="294" xfId="0" applyNumberFormat="1" applyFont="1" applyFill="1" applyBorder="1" applyAlignment="1">
      <alignment horizontal="centerContinuous"/>
    </xf>
    <xf numFmtId="180" fontId="23" fillId="7" borderId="286" xfId="0" applyNumberFormat="1" applyFont="1" applyFill="1" applyBorder="1"/>
    <xf numFmtId="178" fontId="18" fillId="7" borderId="254" xfId="26" applyNumberFormat="1" applyFont="1" applyFill="1" applyBorder="1" applyAlignment="1"/>
    <xf numFmtId="178" fontId="18" fillId="7" borderId="258" xfId="26" applyNumberFormat="1" applyFont="1" applyFill="1" applyBorder="1" applyAlignment="1"/>
    <xf numFmtId="178" fontId="18" fillId="7" borderId="286" xfId="26" applyNumberFormat="1" applyFont="1" applyFill="1" applyBorder="1" applyAlignment="1"/>
    <xf numFmtId="179" fontId="18" fillId="7" borderId="294" xfId="0" applyNumberFormat="1" applyFont="1" applyFill="1" applyBorder="1"/>
    <xf numFmtId="179" fontId="18" fillId="7" borderId="301" xfId="0" applyNumberFormat="1" applyFont="1" applyFill="1" applyBorder="1"/>
    <xf numFmtId="180" fontId="9" fillId="7" borderId="286" xfId="0" applyNumberFormat="1" applyFont="1" applyFill="1" applyBorder="1"/>
    <xf numFmtId="180" fontId="19" fillId="7" borderId="258" xfId="26" applyNumberFormat="1" applyFont="1" applyFill="1" applyBorder="1" applyAlignment="1"/>
    <xf numFmtId="179" fontId="18" fillId="7" borderId="302" xfId="0" applyNumberFormat="1" applyFont="1" applyFill="1" applyBorder="1"/>
    <xf numFmtId="179" fontId="18" fillId="7" borderId="286" xfId="26" applyNumberFormat="1" applyFont="1" applyFill="1" applyBorder="1" applyAlignment="1"/>
    <xf numFmtId="179" fontId="18" fillId="7" borderId="292" xfId="26" applyNumberFormat="1" applyFont="1" applyFill="1" applyBorder="1" applyAlignment="1"/>
    <xf numFmtId="179" fontId="18" fillId="7" borderId="300" xfId="0" applyNumberFormat="1" applyFont="1" applyFill="1" applyBorder="1"/>
    <xf numFmtId="178" fontId="18" fillId="7" borderId="293" xfId="26" applyNumberFormat="1" applyFont="1" applyFill="1" applyBorder="1" applyAlignment="1"/>
    <xf numFmtId="178" fontId="18" fillId="7" borderId="254" xfId="26" applyNumberFormat="1" applyFont="1" applyFill="1" applyBorder="1" applyAlignment="1">
      <alignment horizontal="right"/>
    </xf>
    <xf numFmtId="178" fontId="18" fillId="7" borderId="293" xfId="26" applyNumberFormat="1" applyFont="1" applyFill="1" applyBorder="1" applyAlignment="1">
      <alignment horizontal="right"/>
    </xf>
    <xf numFmtId="178" fontId="18" fillId="7" borderId="297" xfId="26" applyNumberFormat="1" applyFont="1" applyFill="1" applyBorder="1" applyAlignment="1">
      <alignment horizontal="right"/>
    </xf>
    <xf numFmtId="178" fontId="18" fillId="7" borderId="286" xfId="26" applyNumberFormat="1" applyFont="1" applyFill="1" applyBorder="1" applyAlignment="1">
      <alignment horizontal="right"/>
    </xf>
    <xf numFmtId="180" fontId="23" fillId="7" borderId="301" xfId="26" applyNumberFormat="1" applyFont="1" applyFill="1" applyBorder="1" applyAlignment="1"/>
    <xf numFmtId="180" fontId="18" fillId="7" borderId="286" xfId="26" applyNumberFormat="1" applyFont="1" applyFill="1" applyBorder="1" applyAlignment="1"/>
    <xf numFmtId="180" fontId="18" fillId="7" borderId="286" xfId="0" applyNumberFormat="1" applyFont="1" applyFill="1" applyBorder="1"/>
    <xf numFmtId="0" fontId="153" fillId="7" borderId="0" xfId="0" applyFont="1" applyFill="1" applyAlignment="1">
      <alignment vertical="center"/>
    </xf>
    <xf numFmtId="0" fontId="153" fillId="7" borderId="0" xfId="59" applyFont="1" applyFill="1" applyAlignment="1">
      <alignment vertical="center"/>
    </xf>
    <xf numFmtId="0" fontId="166" fillId="7" borderId="0" xfId="0" applyFont="1" applyFill="1" applyAlignment="1">
      <alignment vertical="center"/>
    </xf>
    <xf numFmtId="180" fontId="9" fillId="7" borderId="0" xfId="0" applyNumberFormat="1" applyFont="1" applyFill="1" applyAlignment="1">
      <alignment vertical="center"/>
    </xf>
    <xf numFmtId="184" fontId="44" fillId="67" borderId="15" xfId="18" applyNumberFormat="1" applyFont="1" applyFill="1" applyBorder="1" applyAlignment="1">
      <alignment horizontal="right" vertical="center"/>
    </xf>
    <xf numFmtId="0" fontId="142" fillId="7" borderId="0" xfId="0" applyFont="1" applyFill="1"/>
    <xf numFmtId="0" fontId="137" fillId="7" borderId="0" xfId="0" applyFont="1" applyFill="1"/>
    <xf numFmtId="0" fontId="147" fillId="7" borderId="0" xfId="0" applyFont="1" applyFill="1"/>
    <xf numFmtId="0" fontId="227" fillId="7" borderId="0" xfId="0" applyFont="1" applyFill="1" applyAlignment="1">
      <alignment vertical="center"/>
    </xf>
    <xf numFmtId="0" fontId="166" fillId="7" borderId="0" xfId="0" applyFont="1" applyFill="1" applyAlignment="1">
      <alignment vertical="center"/>
    </xf>
    <xf numFmtId="0" fontId="43" fillId="7" borderId="22" xfId="0" applyFont="1" applyFill="1" applyBorder="1" applyAlignment="1">
      <alignment horizontal="center"/>
    </xf>
    <xf numFmtId="0" fontId="43" fillId="7" borderId="6" xfId="0" applyFont="1" applyFill="1" applyBorder="1" applyAlignment="1">
      <alignment horizontal="center"/>
    </xf>
    <xf numFmtId="0" fontId="43" fillId="7" borderId="0" xfId="0" applyFont="1" applyFill="1" applyAlignment="1">
      <alignment horizontal="center" vertical="center"/>
    </xf>
    <xf numFmtId="0" fontId="44" fillId="7" borderId="0" xfId="59" applyFont="1" applyFill="1" applyAlignment="1">
      <alignment horizontal="center" vertical="center" wrapText="1"/>
    </xf>
    <xf numFmtId="0" fontId="43" fillId="7" borderId="15" xfId="0" applyFont="1" applyFill="1" applyBorder="1" applyAlignment="1">
      <alignment horizontal="center" vertical="center"/>
    </xf>
    <xf numFmtId="0" fontId="163" fillId="7" borderId="0" xfId="59" applyFont="1" applyFill="1" applyAlignment="1">
      <alignment horizontal="right" vertical="center"/>
    </xf>
    <xf numFmtId="180" fontId="136" fillId="66" borderId="0" xfId="26" applyNumberFormat="1" applyFont="1" applyFill="1" applyBorder="1" applyAlignment="1">
      <alignment vertical="center"/>
    </xf>
    <xf numFmtId="180" fontId="136" fillId="7" borderId="0" xfId="26" applyNumberFormat="1" applyFont="1" applyFill="1" applyBorder="1" applyAlignment="1">
      <alignment vertical="center"/>
    </xf>
    <xf numFmtId="180" fontId="228" fillId="66" borderId="0" xfId="26" applyNumberFormat="1" applyFont="1" applyFill="1" applyBorder="1" applyAlignment="1">
      <alignment vertical="center"/>
    </xf>
    <xf numFmtId="196" fontId="165" fillId="65" borderId="247" xfId="0" applyNumberFormat="1" applyFont="1" applyFill="1" applyBorder="1" applyAlignment="1">
      <alignment horizontal="center" vertical="center" wrapText="1"/>
    </xf>
    <xf numFmtId="0" fontId="44" fillId="7" borderId="0" xfId="0" applyFont="1" applyFill="1" applyAlignment="1">
      <alignment horizontal="right"/>
    </xf>
    <xf numFmtId="0" fontId="170" fillId="7" borderId="0" xfId="0" applyFont="1" applyFill="1" applyAlignment="1">
      <alignment horizontal="right"/>
    </xf>
    <xf numFmtId="49" fontId="188" fillId="69" borderId="268" xfId="26" applyNumberFormat="1" applyFont="1" applyFill="1" applyBorder="1" applyAlignment="1">
      <alignment horizontal="centerContinuous" vertical="center" wrapText="1"/>
    </xf>
    <xf numFmtId="49" fontId="188" fillId="69" borderId="268" xfId="26" applyNumberFormat="1" applyFont="1" applyFill="1" applyBorder="1" applyAlignment="1">
      <alignment horizontal="centerContinuous" vertical="center"/>
    </xf>
    <xf numFmtId="49" fontId="188" fillId="69" borderId="259" xfId="0" applyNumberFormat="1" applyFont="1" applyFill="1" applyBorder="1" applyAlignment="1">
      <alignment horizontal="centerContinuous" vertical="center"/>
    </xf>
    <xf numFmtId="49" fontId="188" fillId="65" borderId="261" xfId="0" applyNumberFormat="1" applyFont="1" applyFill="1" applyBorder="1" applyAlignment="1">
      <alignment horizontal="centerContinuous" vertical="center" wrapText="1"/>
    </xf>
    <xf numFmtId="49" fontId="188" fillId="65" borderId="268" xfId="0" applyNumberFormat="1" applyFont="1" applyFill="1" applyBorder="1" applyAlignment="1">
      <alignment horizontal="centerContinuous" vertical="center"/>
    </xf>
    <xf numFmtId="180" fontId="188" fillId="65" borderId="270" xfId="0" applyNumberFormat="1" applyFont="1" applyFill="1" applyBorder="1" applyAlignment="1">
      <alignment horizontal="center" wrapText="1"/>
    </xf>
    <xf numFmtId="0" fontId="198" fillId="7" borderId="0" xfId="0" applyFont="1" applyFill="1" applyAlignment="1">
      <alignment vertical="center"/>
    </xf>
    <xf numFmtId="0" fontId="198" fillId="7" borderId="0" xfId="0" applyFont="1" applyFill="1" applyAlignment="1">
      <alignment horizontal="left" vertical="center"/>
    </xf>
    <xf numFmtId="178" fontId="163" fillId="7" borderId="0" xfId="26" applyNumberFormat="1" applyFont="1" applyFill="1" applyBorder="1" applyAlignment="1">
      <alignment horizontal="right"/>
    </xf>
    <xf numFmtId="178" fontId="163" fillId="67" borderId="0" xfId="26" applyNumberFormat="1" applyFont="1" applyFill="1" applyBorder="1" applyAlignment="1">
      <alignment horizontal="right"/>
    </xf>
    <xf numFmtId="0" fontId="135" fillId="7" borderId="0" xfId="0" applyFont="1" applyFill="1" applyAlignment="1">
      <alignment horizontal="right"/>
    </xf>
    <xf numFmtId="0" fontId="163" fillId="7" borderId="0" xfId="60" applyFont="1" applyFill="1" applyAlignment="1">
      <alignment vertical="center"/>
    </xf>
    <xf numFmtId="0" fontId="163" fillId="66" borderId="15" xfId="60" applyFont="1" applyFill="1" applyBorder="1" applyAlignment="1">
      <alignment vertical="center"/>
    </xf>
    <xf numFmtId="38" fontId="44" fillId="7" borderId="0" xfId="26" applyFont="1" applyFill="1" applyBorder="1" applyAlignment="1">
      <alignment vertical="center" wrapText="1"/>
    </xf>
    <xf numFmtId="38" fontId="44" fillId="70" borderId="15" xfId="26" applyFont="1" applyFill="1" applyBorder="1" applyAlignment="1">
      <alignment vertical="center" wrapText="1"/>
    </xf>
    <xf numFmtId="0" fontId="171" fillId="7" borderId="0" xfId="60" applyFont="1" applyFill="1" applyAlignment="1">
      <alignment vertical="center"/>
    </xf>
    <xf numFmtId="0" fontId="170" fillId="7" borderId="0" xfId="60" applyFont="1" applyFill="1" applyAlignment="1">
      <alignment horizontal="right"/>
    </xf>
    <xf numFmtId="191" fontId="171" fillId="7" borderId="0" xfId="60" applyNumberFormat="1" applyFont="1" applyFill="1" applyAlignment="1">
      <alignment horizontal="right"/>
    </xf>
    <xf numFmtId="38" fontId="44" fillId="66" borderId="54" xfId="26" applyFont="1" applyFill="1" applyBorder="1" applyAlignment="1">
      <alignment horizontal="right" vertical="center"/>
    </xf>
    <xf numFmtId="179" fontId="44" fillId="66" borderId="54" xfId="26" applyNumberFormat="1" applyFont="1" applyFill="1" applyBorder="1" applyAlignment="1">
      <alignment vertical="center"/>
    </xf>
    <xf numFmtId="179" fontId="44" fillId="70" borderId="15" xfId="26" applyNumberFormat="1" applyFont="1" applyFill="1" applyBorder="1" applyAlignment="1">
      <alignment vertical="center"/>
    </xf>
    <xf numFmtId="38" fontId="44" fillId="67" borderId="243" xfId="26" applyFont="1" applyFill="1" applyBorder="1" applyAlignment="1">
      <alignment vertical="center"/>
    </xf>
    <xf numFmtId="179" fontId="44" fillId="67" borderId="243" xfId="26" applyNumberFormat="1" applyFont="1" applyFill="1" applyBorder="1" applyAlignment="1">
      <alignment vertical="center"/>
    </xf>
    <xf numFmtId="198" fontId="44" fillId="7" borderId="0" xfId="26" applyNumberFormat="1" applyFont="1" applyFill="1" applyBorder="1" applyAlignment="1">
      <alignment vertical="center"/>
    </xf>
    <xf numFmtId="38" fontId="44" fillId="67" borderId="0" xfId="26" applyFont="1" applyFill="1" applyBorder="1" applyAlignment="1">
      <alignment vertical="center"/>
    </xf>
    <xf numFmtId="38" fontId="44" fillId="70" borderId="15" xfId="26" applyFont="1" applyFill="1" applyBorder="1" applyAlignment="1">
      <alignment vertical="center"/>
    </xf>
    <xf numFmtId="49" fontId="198" fillId="68" borderId="271" xfId="0" applyNumberFormat="1" applyFont="1" applyFill="1" applyBorder="1" applyAlignment="1">
      <alignment horizontal="center" vertical="center"/>
    </xf>
    <xf numFmtId="0" fontId="198" fillId="68" borderId="271" xfId="0" applyFont="1" applyFill="1" applyBorder="1" applyAlignment="1">
      <alignment horizontal="center" vertical="center" wrapText="1"/>
    </xf>
    <xf numFmtId="38" fontId="198" fillId="68" borderId="271" xfId="26" applyFont="1" applyFill="1" applyBorder="1" applyAlignment="1">
      <alignment vertical="center"/>
    </xf>
    <xf numFmtId="38" fontId="198" fillId="68" borderId="271" xfId="26" applyFont="1" applyFill="1" applyBorder="1" applyAlignment="1">
      <alignment horizontal="center" vertical="center"/>
    </xf>
    <xf numFmtId="184" fontId="198" fillId="68" borderId="271" xfId="0" applyNumberFormat="1" applyFont="1" applyFill="1" applyBorder="1" applyAlignment="1">
      <alignment vertical="center"/>
    </xf>
    <xf numFmtId="184" fontId="198" fillId="68" borderId="271" xfId="0" applyNumberFormat="1" applyFont="1" applyFill="1" applyBorder="1" applyAlignment="1">
      <alignment horizontal="center" vertical="center"/>
    </xf>
    <xf numFmtId="49" fontId="198" fillId="68" borderId="272" xfId="0" applyNumberFormat="1" applyFont="1" applyFill="1" applyBorder="1" applyAlignment="1">
      <alignment horizontal="center" vertical="center"/>
    </xf>
    <xf numFmtId="0" fontId="198" fillId="68" borderId="272" xfId="0" applyFont="1" applyFill="1" applyBorder="1" applyAlignment="1">
      <alignment horizontal="center" vertical="center" wrapText="1"/>
    </xf>
    <xf numFmtId="38" fontId="198" fillId="68" borderId="272" xfId="26" applyFont="1" applyFill="1" applyBorder="1" applyAlignment="1">
      <alignment vertical="center"/>
    </xf>
    <xf numFmtId="38" fontId="198" fillId="68" borderId="272" xfId="26" applyFont="1" applyFill="1" applyBorder="1" applyAlignment="1">
      <alignment horizontal="center" vertical="center"/>
    </xf>
    <xf numFmtId="184" fontId="198" fillId="68" borderId="272" xfId="0" applyNumberFormat="1" applyFont="1" applyFill="1" applyBorder="1" applyAlignment="1">
      <alignment vertical="center"/>
    </xf>
    <xf numFmtId="184" fontId="198" fillId="68" borderId="272" xfId="0" applyNumberFormat="1" applyFont="1" applyFill="1" applyBorder="1" applyAlignment="1">
      <alignment horizontal="center" vertical="center"/>
    </xf>
    <xf numFmtId="49" fontId="198" fillId="70" borderId="272" xfId="0" applyNumberFormat="1" applyFont="1" applyFill="1" applyBorder="1" applyAlignment="1">
      <alignment horizontal="center" vertical="center"/>
    </xf>
    <xf numFmtId="0" fontId="44" fillId="70" borderId="272" xfId="0" applyFont="1" applyFill="1" applyBorder="1" applyAlignment="1">
      <alignment horizontal="center" vertical="center" wrapText="1"/>
    </xf>
    <xf numFmtId="38" fontId="198" fillId="70" borderId="272" xfId="26" applyFont="1" applyFill="1" applyBorder="1" applyAlignment="1">
      <alignment vertical="center"/>
    </xf>
    <xf numFmtId="38" fontId="44" fillId="70" borderId="272" xfId="26" applyFont="1" applyFill="1" applyBorder="1" applyAlignment="1">
      <alignment horizontal="center" vertical="center"/>
    </xf>
    <xf numFmtId="184" fontId="198" fillId="70" borderId="272" xfId="0" applyNumberFormat="1" applyFont="1" applyFill="1" applyBorder="1" applyAlignment="1">
      <alignment vertical="center"/>
    </xf>
    <xf numFmtId="184" fontId="44" fillId="70" borderId="272" xfId="0" applyNumberFormat="1" applyFont="1" applyFill="1" applyBorder="1" applyAlignment="1">
      <alignment horizontal="center" vertical="center"/>
    </xf>
    <xf numFmtId="49" fontId="44" fillId="7" borderId="273" xfId="0" applyNumberFormat="1" applyFont="1" applyFill="1" applyBorder="1" applyAlignment="1">
      <alignment horizontal="center" vertical="center"/>
    </xf>
    <xf numFmtId="0" fontId="44" fillId="7" borderId="273" xfId="0" applyFont="1" applyFill="1" applyBorder="1" applyAlignment="1">
      <alignment horizontal="center" vertical="center" wrapText="1"/>
    </xf>
    <xf numFmtId="38" fontId="44" fillId="7" borderId="273" xfId="26" applyFont="1" applyFill="1" applyBorder="1" applyAlignment="1">
      <alignment vertical="center"/>
    </xf>
    <xf numFmtId="38" fontId="44" fillId="7" borderId="273" xfId="26" applyFont="1" applyFill="1" applyBorder="1" applyAlignment="1">
      <alignment horizontal="center" vertical="center"/>
    </xf>
    <xf numFmtId="184" fontId="44" fillId="7" borderId="273" xfId="0" applyNumberFormat="1" applyFont="1" applyFill="1" applyBorder="1" applyAlignment="1">
      <alignment vertical="center"/>
    </xf>
    <xf numFmtId="184" fontId="44" fillId="7" borderId="273" xfId="0" applyNumberFormat="1" applyFont="1" applyFill="1" applyBorder="1" applyAlignment="1">
      <alignment horizontal="center" vertical="center"/>
    </xf>
    <xf numFmtId="188" fontId="44" fillId="66" borderId="0" xfId="0" applyNumberFormat="1" applyFont="1" applyFill="1" applyAlignment="1">
      <alignment horizontal="right" vertical="center"/>
    </xf>
    <xf numFmtId="188" fontId="44" fillId="70" borderId="15" xfId="0" applyNumberFormat="1" applyFont="1" applyFill="1" applyBorder="1" applyAlignment="1">
      <alignment horizontal="right" vertical="center"/>
    </xf>
    <xf numFmtId="196" fontId="172" fillId="65" borderId="249" xfId="0" applyNumberFormat="1" applyFont="1" applyFill="1" applyBorder="1" applyAlignment="1">
      <alignment horizontal="centerContinuous" vertical="top" shrinkToFit="1"/>
    </xf>
    <xf numFmtId="180" fontId="44" fillId="7" borderId="0" xfId="26" applyNumberFormat="1" applyFont="1" applyFill="1" applyBorder="1" applyAlignment="1">
      <alignment horizontal="center" vertical="center"/>
    </xf>
    <xf numFmtId="180" fontId="44" fillId="7" borderId="0" xfId="0" applyNumberFormat="1" applyFont="1" applyFill="1" applyAlignment="1">
      <alignment horizontal="center" vertical="center"/>
    </xf>
    <xf numFmtId="0" fontId="44" fillId="66" borderId="0" xfId="0" applyFont="1" applyFill="1" applyAlignment="1">
      <alignment vertical="center"/>
    </xf>
    <xf numFmtId="180" fontId="44" fillId="66" borderId="0" xfId="26" applyNumberFormat="1" applyFont="1" applyFill="1" applyBorder="1" applyAlignment="1">
      <alignment vertical="center"/>
    </xf>
    <xf numFmtId="180" fontId="44" fillId="66" borderId="0" xfId="0" applyNumberFormat="1" applyFont="1" applyFill="1" applyAlignment="1">
      <alignment horizontal="right" vertical="center"/>
    </xf>
    <xf numFmtId="179" fontId="44" fillId="66" borderId="0" xfId="0" applyNumberFormat="1" applyFont="1" applyFill="1" applyAlignment="1">
      <alignment horizontal="right" vertical="center"/>
    </xf>
    <xf numFmtId="180" fontId="44" fillId="7" borderId="0" xfId="26" applyNumberFormat="1" applyFont="1" applyFill="1" applyBorder="1" applyAlignment="1">
      <alignment vertical="center"/>
    </xf>
    <xf numFmtId="180" fontId="44" fillId="7" borderId="0" xfId="0" applyNumberFormat="1" applyFont="1" applyFill="1" applyAlignment="1">
      <alignment horizontal="right" vertical="center"/>
    </xf>
    <xf numFmtId="179" fontId="44" fillId="7" borderId="0" xfId="0" applyNumberFormat="1" applyFont="1" applyFill="1" applyAlignment="1">
      <alignment horizontal="right" vertical="center"/>
    </xf>
    <xf numFmtId="180" fontId="44" fillId="7" borderId="0" xfId="26" applyNumberFormat="1" applyFont="1" applyFill="1" applyBorder="1" applyAlignment="1">
      <alignment horizontal="right" vertical="center"/>
    </xf>
    <xf numFmtId="0" fontId="44" fillId="70" borderId="15" xfId="0" applyFont="1" applyFill="1" applyBorder="1" applyAlignment="1">
      <alignment vertical="center"/>
    </xf>
    <xf numFmtId="180" fontId="44" fillId="70" borderId="15" xfId="26" applyNumberFormat="1" applyFont="1" applyFill="1" applyBorder="1" applyAlignment="1">
      <alignment vertical="center"/>
    </xf>
    <xf numFmtId="180" fontId="44" fillId="70" borderId="15" xfId="0" applyNumberFormat="1" applyFont="1" applyFill="1" applyBorder="1" applyAlignment="1">
      <alignment horizontal="right" vertical="center"/>
    </xf>
    <xf numFmtId="179" fontId="44" fillId="70" borderId="15" xfId="0" applyNumberFormat="1" applyFont="1" applyFill="1" applyBorder="1" applyAlignment="1">
      <alignment horizontal="right" vertical="center"/>
    </xf>
    <xf numFmtId="0" fontId="44" fillId="7" borderId="0" xfId="60" applyFont="1" applyFill="1" applyAlignment="1">
      <alignment vertical="center" shrinkToFit="1"/>
    </xf>
    <xf numFmtId="0" fontId="44" fillId="66" borderId="0" xfId="60" applyFont="1" applyFill="1" applyAlignment="1">
      <alignment vertical="center" shrinkToFit="1"/>
    </xf>
    <xf numFmtId="0" fontId="44" fillId="70" borderId="15" xfId="60" applyFont="1" applyFill="1" applyBorder="1" applyAlignment="1">
      <alignment vertical="center" shrinkToFit="1"/>
    </xf>
    <xf numFmtId="0" fontId="44" fillId="7" borderId="0" xfId="0" applyFont="1" applyFill="1" applyAlignment="1">
      <alignment vertical="center" shrinkToFit="1"/>
    </xf>
    <xf numFmtId="0" fontId="44" fillId="66" borderId="0" xfId="0" applyFont="1" applyFill="1" applyAlignment="1">
      <alignment vertical="center" shrinkToFit="1"/>
    </xf>
    <xf numFmtId="180" fontId="44" fillId="66" borderId="0" xfId="26" applyNumberFormat="1" applyFont="1" applyFill="1" applyBorder="1" applyAlignment="1">
      <alignment horizontal="right" vertical="center"/>
    </xf>
    <xf numFmtId="0" fontId="136" fillId="7" borderId="0" xfId="0" applyFont="1" applyFill="1" applyAlignment="1">
      <alignment vertical="center"/>
    </xf>
    <xf numFmtId="0" fontId="44" fillId="70" borderId="15" xfId="0" applyFont="1" applyFill="1" applyBorder="1" applyAlignment="1">
      <alignment vertical="center" shrinkToFit="1"/>
    </xf>
    <xf numFmtId="180" fontId="44" fillId="70" borderId="15" xfId="26" applyNumberFormat="1" applyFont="1" applyFill="1" applyBorder="1" applyAlignment="1">
      <alignment horizontal="right" vertical="center"/>
    </xf>
    <xf numFmtId="180" fontId="44" fillId="7" borderId="0" xfId="0" applyNumberFormat="1" applyFont="1" applyFill="1" applyAlignment="1">
      <alignment vertical="center"/>
    </xf>
    <xf numFmtId="180" fontId="44" fillId="66" borderId="0" xfId="0" applyNumberFormat="1" applyFont="1" applyFill="1" applyAlignment="1">
      <alignment vertical="center"/>
    </xf>
    <xf numFmtId="178" fontId="44" fillId="66" borderId="0" xfId="26" applyNumberFormat="1" applyFont="1" applyFill="1" applyBorder="1" applyAlignment="1">
      <alignment vertical="center"/>
    </xf>
    <xf numFmtId="178" fontId="44" fillId="66" borderId="0" xfId="26" applyNumberFormat="1" applyFont="1" applyFill="1" applyBorder="1" applyAlignment="1">
      <alignment horizontal="right" vertical="center"/>
    </xf>
    <xf numFmtId="180" fontId="44" fillId="66" borderId="15" xfId="0" applyNumberFormat="1" applyFont="1" applyFill="1" applyBorder="1" applyAlignment="1">
      <alignment vertical="center"/>
    </xf>
    <xf numFmtId="180" fontId="44" fillId="66" borderId="15" xfId="26" applyNumberFormat="1" applyFont="1" applyFill="1" applyBorder="1" applyAlignment="1">
      <alignment vertical="center"/>
    </xf>
    <xf numFmtId="178" fontId="44" fillId="66" borderId="15" xfId="26" applyNumberFormat="1" applyFont="1" applyFill="1" applyBorder="1" applyAlignment="1">
      <alignment vertical="center"/>
    </xf>
    <xf numFmtId="178" fontId="44" fillId="66" borderId="15" xfId="26" applyNumberFormat="1" applyFont="1" applyFill="1" applyBorder="1" applyAlignment="1">
      <alignment horizontal="right" vertical="center"/>
    </xf>
    <xf numFmtId="179" fontId="44" fillId="66" borderId="15" xfId="0" applyNumberFormat="1" applyFont="1" applyFill="1" applyBorder="1" applyAlignment="1">
      <alignment horizontal="right" vertical="center"/>
    </xf>
    <xf numFmtId="180" fontId="44" fillId="66" borderId="293" xfId="0" applyNumberFormat="1" applyFont="1" applyFill="1" applyBorder="1" applyAlignment="1">
      <alignment vertical="center"/>
    </xf>
    <xf numFmtId="180" fontId="44" fillId="66" borderId="293" xfId="26" applyNumberFormat="1" applyFont="1" applyFill="1" applyBorder="1" applyAlignment="1">
      <alignment vertical="center"/>
    </xf>
    <xf numFmtId="178" fontId="44" fillId="66" borderId="293" xfId="26" applyNumberFormat="1" applyFont="1" applyFill="1" applyBorder="1" applyAlignment="1">
      <alignment vertical="center"/>
    </xf>
    <xf numFmtId="178" fontId="44" fillId="66" borderId="293" xfId="26" applyNumberFormat="1" applyFont="1" applyFill="1" applyBorder="1" applyAlignment="1">
      <alignment horizontal="right" vertical="center"/>
    </xf>
    <xf numFmtId="179" fontId="44" fillId="66" borderId="293" xfId="0" applyNumberFormat="1" applyFont="1" applyFill="1" applyBorder="1" applyAlignment="1">
      <alignment horizontal="right" vertical="center"/>
    </xf>
    <xf numFmtId="180" fontId="44" fillId="7" borderId="0" xfId="26" applyNumberFormat="1" applyFont="1" applyFill="1" applyBorder="1" applyAlignment="1">
      <alignment vertical="center" shrinkToFit="1"/>
    </xf>
    <xf numFmtId="180" fontId="44" fillId="66" borderId="0" xfId="26" applyNumberFormat="1" applyFont="1" applyFill="1" applyBorder="1" applyAlignment="1">
      <alignment vertical="center" shrinkToFit="1"/>
    </xf>
    <xf numFmtId="180" fontId="44" fillId="7" borderId="15" xfId="0" applyNumberFormat="1" applyFont="1" applyFill="1" applyBorder="1" applyAlignment="1">
      <alignment vertical="center"/>
    </xf>
    <xf numFmtId="180" fontId="44" fillId="7" borderId="15" xfId="26" applyNumberFormat="1" applyFont="1" applyFill="1" applyBorder="1" applyAlignment="1">
      <alignment vertical="center"/>
    </xf>
    <xf numFmtId="179" fontId="44" fillId="7" borderId="15" xfId="0" applyNumberFormat="1" applyFont="1" applyFill="1" applyBorder="1" applyAlignment="1">
      <alignment horizontal="right" vertical="center"/>
    </xf>
    <xf numFmtId="180" fontId="212" fillId="66" borderId="293" xfId="0" applyNumberFormat="1" applyFont="1" applyFill="1" applyBorder="1" applyAlignment="1">
      <alignment vertical="center"/>
    </xf>
    <xf numFmtId="180" fontId="44" fillId="66" borderId="293" xfId="0" applyNumberFormat="1" applyFont="1" applyFill="1" applyBorder="1" applyAlignment="1">
      <alignment horizontal="right" vertical="center"/>
    </xf>
    <xf numFmtId="180" fontId="212" fillId="7" borderId="15" xfId="0" applyNumberFormat="1" applyFont="1" applyFill="1" applyBorder="1" applyAlignment="1">
      <alignment vertical="center"/>
    </xf>
    <xf numFmtId="180" fontId="44" fillId="7" borderId="15" xfId="0" applyNumberFormat="1" applyFont="1" applyFill="1" applyBorder="1" applyAlignment="1">
      <alignment horizontal="right" vertical="center"/>
    </xf>
    <xf numFmtId="0" fontId="136" fillId="7" borderId="0" xfId="61" applyFont="1" applyFill="1" applyAlignment="1">
      <alignment horizontal="left" vertical="center"/>
    </xf>
    <xf numFmtId="180" fontId="136" fillId="7" borderId="0" xfId="0" applyNumberFormat="1" applyFont="1" applyFill="1" applyAlignment="1">
      <alignment vertical="center"/>
    </xf>
    <xf numFmtId="178" fontId="23" fillId="7" borderId="0" xfId="0" applyNumberFormat="1" applyFont="1" applyFill="1"/>
    <xf numFmtId="0" fontId="191" fillId="7" borderId="303" xfId="0" applyFont="1" applyFill="1" applyBorder="1" applyAlignment="1">
      <alignment horizontal="center" vertical="center" wrapText="1"/>
    </xf>
    <xf numFmtId="0" fontId="191" fillId="7" borderId="250" xfId="0" applyFont="1" applyFill="1" applyBorder="1" applyAlignment="1">
      <alignment horizontal="center" vertical="center" wrapText="1"/>
    </xf>
    <xf numFmtId="0" fontId="192" fillId="7" borderId="248" xfId="0" applyFont="1" applyFill="1" applyBorder="1" applyAlignment="1">
      <alignment horizontal="center" vertical="center" shrinkToFit="1"/>
    </xf>
    <xf numFmtId="0" fontId="192" fillId="7" borderId="249" xfId="0" applyFont="1" applyFill="1" applyBorder="1" applyAlignment="1">
      <alignment horizontal="center" vertical="center" shrinkToFit="1"/>
    </xf>
    <xf numFmtId="38" fontId="43" fillId="70" borderId="245" xfId="26" applyFont="1" applyFill="1" applyBorder="1" applyAlignment="1">
      <alignment vertical="center"/>
    </xf>
    <xf numFmtId="202" fontId="43" fillId="70" borderId="247" xfId="0" applyNumberFormat="1" applyFont="1" applyFill="1" applyBorder="1" applyAlignment="1">
      <alignment horizontal="right" vertical="center"/>
    </xf>
    <xf numFmtId="203" fontId="43" fillId="7" borderId="245" xfId="26" applyNumberFormat="1" applyFont="1" applyFill="1" applyBorder="1" applyAlignment="1">
      <alignment vertical="center"/>
    </xf>
    <xf numFmtId="202" fontId="43" fillId="7" borderId="247" xfId="0" applyNumberFormat="1" applyFont="1" applyFill="1" applyBorder="1" applyAlignment="1">
      <alignment horizontal="right" vertical="center"/>
    </xf>
    <xf numFmtId="38" fontId="43" fillId="66" borderId="245" xfId="26" applyFont="1" applyFill="1" applyBorder="1" applyAlignment="1">
      <alignment vertical="center"/>
    </xf>
    <xf numFmtId="202" fontId="43" fillId="66" borderId="247" xfId="0" applyNumberFormat="1" applyFont="1" applyFill="1" applyBorder="1" applyAlignment="1">
      <alignment horizontal="right" vertical="center"/>
    </xf>
    <xf numFmtId="38" fontId="43" fillId="7" borderId="245" xfId="26" applyFont="1" applyFill="1" applyBorder="1" applyAlignment="1">
      <alignment vertical="center"/>
    </xf>
    <xf numFmtId="38" fontId="43" fillId="70" borderId="248" xfId="26" applyFont="1" applyFill="1" applyBorder="1" applyAlignment="1">
      <alignment vertical="center"/>
    </xf>
    <xf numFmtId="188" fontId="43" fillId="70" borderId="249" xfId="0" applyNumberFormat="1" applyFont="1" applyFill="1" applyBorder="1" applyAlignment="1">
      <alignment horizontal="right" vertical="center"/>
    </xf>
    <xf numFmtId="188" fontId="43" fillId="70" borderId="247" xfId="0" applyNumberFormat="1" applyFont="1" applyFill="1" applyBorder="1" applyAlignment="1">
      <alignment vertical="center"/>
    </xf>
    <xf numFmtId="213" fontId="43" fillId="7" borderId="247" xfId="0" applyNumberFormat="1" applyFont="1" applyFill="1" applyBorder="1" applyAlignment="1">
      <alignment vertical="center"/>
    </xf>
    <xf numFmtId="188" fontId="43" fillId="66" borderId="247" xfId="0" applyNumberFormat="1" applyFont="1" applyFill="1" applyBorder="1" applyAlignment="1">
      <alignment vertical="center"/>
    </xf>
    <xf numFmtId="188" fontId="43" fillId="7" borderId="247" xfId="0" applyNumberFormat="1" applyFont="1" applyFill="1" applyBorder="1" applyAlignment="1">
      <alignment vertical="center"/>
    </xf>
    <xf numFmtId="188" fontId="43" fillId="70" borderId="249" xfId="0" applyNumberFormat="1" applyFont="1" applyFill="1" applyBorder="1" applyAlignment="1">
      <alignment vertical="center"/>
    </xf>
    <xf numFmtId="0" fontId="191" fillId="7" borderId="304" xfId="0" applyFont="1" applyFill="1" applyBorder="1" applyAlignment="1">
      <alignment horizontal="center" vertical="center" wrapText="1"/>
    </xf>
    <xf numFmtId="0" fontId="191" fillId="7" borderId="305" xfId="0" applyFont="1" applyFill="1" applyBorder="1" applyAlignment="1">
      <alignment horizontal="center" vertical="center" wrapText="1"/>
    </xf>
    <xf numFmtId="0" fontId="192" fillId="7" borderId="306" xfId="0" applyFont="1" applyFill="1" applyBorder="1" applyAlignment="1">
      <alignment horizontal="center" vertical="center" shrinkToFit="1"/>
    </xf>
    <xf numFmtId="0" fontId="192" fillId="7" borderId="307" xfId="0" applyFont="1" applyFill="1" applyBorder="1" applyAlignment="1">
      <alignment horizontal="center" vertical="center" shrinkToFit="1"/>
    </xf>
    <xf numFmtId="38" fontId="43" fillId="70" borderId="308" xfId="26" applyFont="1" applyFill="1" applyBorder="1" applyAlignment="1">
      <alignment vertical="center"/>
    </xf>
    <xf numFmtId="188" fontId="43" fillId="70" borderId="309" xfId="0" applyNumberFormat="1" applyFont="1" applyFill="1" applyBorder="1" applyAlignment="1">
      <alignment vertical="center"/>
    </xf>
    <xf numFmtId="203" fontId="43" fillId="7" borderId="308" xfId="26" applyNumberFormat="1" applyFont="1" applyFill="1" applyBorder="1" applyAlignment="1">
      <alignment vertical="center"/>
    </xf>
    <xf numFmtId="213" fontId="43" fillId="7" borderId="309" xfId="0" applyNumberFormat="1" applyFont="1" applyFill="1" applyBorder="1" applyAlignment="1">
      <alignment vertical="center"/>
    </xf>
    <xf numFmtId="38" fontId="43" fillId="66" borderId="308" xfId="26" applyFont="1" applyFill="1" applyBorder="1" applyAlignment="1">
      <alignment vertical="center"/>
    </xf>
    <xf numFmtId="188" fontId="43" fillId="66" borderId="309" xfId="0" applyNumberFormat="1" applyFont="1" applyFill="1" applyBorder="1" applyAlignment="1">
      <alignment vertical="center"/>
    </xf>
    <xf numFmtId="38" fontId="43" fillId="7" borderId="308" xfId="26" applyFont="1" applyFill="1" applyBorder="1" applyAlignment="1">
      <alignment vertical="center"/>
    </xf>
    <xf numFmtId="188" fontId="43" fillId="7" borderId="309" xfId="0" applyNumberFormat="1" applyFont="1" applyFill="1" applyBorder="1" applyAlignment="1">
      <alignment vertical="center"/>
    </xf>
    <xf numFmtId="38" fontId="43" fillId="70" borderId="306" xfId="26" applyFont="1" applyFill="1" applyBorder="1" applyAlignment="1">
      <alignment vertical="center"/>
    </xf>
    <xf numFmtId="188" fontId="43" fillId="70" borderId="307" xfId="0" applyNumberFormat="1" applyFont="1" applyFill="1" applyBorder="1" applyAlignment="1">
      <alignment vertical="center"/>
    </xf>
    <xf numFmtId="179" fontId="43" fillId="70" borderId="308" xfId="26" applyNumberFormat="1" applyFont="1" applyFill="1" applyBorder="1" applyAlignment="1">
      <alignment horizontal="right" vertical="center"/>
    </xf>
    <xf numFmtId="179" fontId="43" fillId="7" borderId="308" xfId="26" applyNumberFormat="1" applyFont="1" applyFill="1" applyBorder="1" applyAlignment="1">
      <alignment horizontal="right" vertical="center"/>
    </xf>
    <xf numFmtId="179" fontId="43" fillId="66" borderId="308" xfId="26" applyNumberFormat="1" applyFont="1" applyFill="1" applyBorder="1" applyAlignment="1">
      <alignment horizontal="right" vertical="center"/>
    </xf>
    <xf numFmtId="179" fontId="43" fillId="70" borderId="306" xfId="26" applyNumberFormat="1" applyFont="1" applyFill="1" applyBorder="1" applyAlignment="1">
      <alignment horizontal="right" vertical="center"/>
    </xf>
    <xf numFmtId="0" fontId="191" fillId="7" borderId="293" xfId="0" applyFont="1" applyFill="1" applyBorder="1" applyAlignment="1">
      <alignment horizontal="center" vertical="center" wrapText="1"/>
    </xf>
    <xf numFmtId="0" fontId="192" fillId="7" borderId="15" xfId="0" applyFont="1" applyFill="1" applyBorder="1" applyAlignment="1">
      <alignment horizontal="center" vertical="center" shrinkToFit="1"/>
    </xf>
    <xf numFmtId="188" fontId="44" fillId="66" borderId="309" xfId="0" applyNumberFormat="1" applyFont="1" applyFill="1" applyBorder="1" applyAlignment="1">
      <alignment horizontal="right" vertical="center"/>
    </xf>
    <xf numFmtId="38" fontId="44" fillId="70" borderId="248" xfId="26" applyFont="1" applyFill="1" applyBorder="1" applyAlignment="1">
      <alignment horizontal="right" vertical="center"/>
    </xf>
    <xf numFmtId="188" fontId="44" fillId="70" borderId="307" xfId="0" applyNumberFormat="1" applyFont="1" applyFill="1" applyBorder="1" applyAlignment="1">
      <alignment horizontal="right" vertical="center"/>
    </xf>
    <xf numFmtId="188" fontId="44" fillId="66" borderId="247" xfId="0" applyNumberFormat="1" applyFont="1" applyFill="1" applyBorder="1" applyAlignment="1">
      <alignment horizontal="right" vertical="center"/>
    </xf>
    <xf numFmtId="188" fontId="44" fillId="70" borderId="249" xfId="0" applyNumberFormat="1" applyFont="1" applyFill="1" applyBorder="1" applyAlignment="1">
      <alignment horizontal="right" vertical="center"/>
    </xf>
    <xf numFmtId="38" fontId="44" fillId="66" borderId="308" xfId="26" applyFont="1" applyFill="1" applyBorder="1" applyAlignment="1">
      <alignment horizontal="right" vertical="center"/>
    </xf>
    <xf numFmtId="38" fontId="44" fillId="70" borderId="306" xfId="26" applyFont="1" applyFill="1" applyBorder="1" applyAlignment="1">
      <alignment horizontal="right" vertical="center"/>
    </xf>
    <xf numFmtId="179" fontId="44" fillId="66" borderId="308" xfId="26" applyNumberFormat="1" applyFont="1" applyFill="1" applyBorder="1" applyAlignment="1">
      <alignment horizontal="right" vertical="center" shrinkToFit="1"/>
    </xf>
    <xf numFmtId="202" fontId="44" fillId="66" borderId="247" xfId="0" applyNumberFormat="1" applyFont="1" applyFill="1" applyBorder="1" applyAlignment="1">
      <alignment horizontal="right" vertical="center" shrinkToFit="1"/>
    </xf>
    <xf numFmtId="179" fontId="44" fillId="70" borderId="306" xfId="26" applyNumberFormat="1" applyFont="1" applyFill="1" applyBorder="1" applyAlignment="1">
      <alignment horizontal="right" vertical="center" shrinkToFit="1"/>
    </xf>
    <xf numFmtId="188" fontId="44" fillId="70" borderId="249" xfId="0" applyNumberFormat="1" applyFont="1" applyFill="1" applyBorder="1" applyAlignment="1">
      <alignment horizontal="right" vertical="center" shrinkToFit="1"/>
    </xf>
    <xf numFmtId="0" fontId="151" fillId="7" borderId="0" xfId="0" applyFont="1" applyFill="1" applyAlignment="1">
      <alignment vertical="center"/>
    </xf>
    <xf numFmtId="0" fontId="151" fillId="7" borderId="0" xfId="0" applyFont="1" applyFill="1" applyAlignment="1">
      <alignment horizontal="center" vertical="center"/>
    </xf>
    <xf numFmtId="0" fontId="9" fillId="7" borderId="0" xfId="0" applyFont="1" applyFill="1" applyAlignment="1">
      <alignment vertical="center"/>
    </xf>
    <xf numFmtId="0" fontId="196" fillId="7" borderId="0" xfId="0" applyFont="1" applyFill="1" applyAlignment="1">
      <alignment horizontal="center" vertical="center"/>
    </xf>
    <xf numFmtId="0" fontId="196" fillId="7" borderId="0" xfId="0" applyFont="1" applyFill="1" applyAlignment="1">
      <alignment vertical="center"/>
    </xf>
    <xf numFmtId="0" fontId="196" fillId="7" borderId="0" xfId="0" applyFont="1" applyFill="1" applyAlignment="1">
      <alignment vertical="center" shrinkToFit="1"/>
    </xf>
    <xf numFmtId="0" fontId="196" fillId="7" borderId="0" xfId="0" applyFont="1" applyFill="1" applyAlignment="1">
      <alignment horizontal="right" vertical="center"/>
    </xf>
    <xf numFmtId="0" fontId="166" fillId="7" borderId="0" xfId="0" applyFont="1" applyFill="1" applyAlignment="1">
      <alignment vertical="center"/>
    </xf>
    <xf numFmtId="0" fontId="231" fillId="7" borderId="0" xfId="0" applyFont="1" applyFill="1" applyAlignment="1">
      <alignment vertical="center"/>
    </xf>
    <xf numFmtId="180" fontId="232" fillId="7" borderId="0" xfId="0" applyNumberFormat="1" applyFont="1" applyFill="1" applyAlignment="1">
      <alignment vertical="center"/>
    </xf>
    <xf numFmtId="0" fontId="232" fillId="7" borderId="0" xfId="0" applyFont="1" applyFill="1" applyAlignment="1">
      <alignment vertical="center"/>
    </xf>
    <xf numFmtId="38" fontId="232" fillId="7" borderId="0" xfId="26" applyFont="1" applyFill="1" applyBorder="1" applyAlignment="1">
      <alignment vertical="center"/>
    </xf>
    <xf numFmtId="20" fontId="147" fillId="7" borderId="0" xfId="0" applyNumberFormat="1" applyFont="1" applyFill="1" applyAlignment="1">
      <alignment vertical="center"/>
    </xf>
    <xf numFmtId="0" fontId="233" fillId="7" borderId="0" xfId="0" applyFont="1" applyFill="1" applyAlignment="1">
      <alignment vertical="center"/>
    </xf>
    <xf numFmtId="0" fontId="234" fillId="7" borderId="0" xfId="0" applyFont="1" applyFill="1" applyAlignment="1">
      <alignment vertical="center"/>
    </xf>
    <xf numFmtId="0" fontId="235" fillId="7" borderId="0" xfId="0" applyFont="1" applyFill="1" applyAlignment="1">
      <alignment vertical="center"/>
    </xf>
    <xf numFmtId="0" fontId="234" fillId="7" borderId="0" xfId="0" applyFont="1" applyFill="1" applyAlignment="1">
      <alignment horizontal="center" vertical="center"/>
    </xf>
    <xf numFmtId="0" fontId="231" fillId="7" borderId="0" xfId="0" applyFont="1" applyFill="1" applyAlignment="1">
      <alignment horizontal="center" vertical="center"/>
    </xf>
    <xf numFmtId="0" fontId="231" fillId="7" borderId="0" xfId="0" applyFont="1" applyFill="1" applyAlignment="1">
      <alignment vertical="center" shrinkToFit="1"/>
    </xf>
    <xf numFmtId="0" fontId="231" fillId="7" borderId="0" xfId="0" applyFont="1" applyFill="1" applyAlignment="1">
      <alignment horizontal="right" vertical="center"/>
    </xf>
    <xf numFmtId="49" fontId="231" fillId="7" borderId="0" xfId="0" applyNumberFormat="1" applyFont="1" applyFill="1" applyAlignment="1">
      <alignment horizontal="center" vertical="center"/>
    </xf>
    <xf numFmtId="49" fontId="232" fillId="7" borderId="0" xfId="0" applyNumberFormat="1" applyFont="1" applyFill="1" applyAlignment="1">
      <alignment horizontal="center" vertical="center"/>
    </xf>
    <xf numFmtId="180" fontId="231" fillId="7" borderId="0" xfId="0" applyNumberFormat="1" applyFont="1" applyFill="1" applyAlignment="1">
      <alignment vertical="center"/>
    </xf>
    <xf numFmtId="0" fontId="232" fillId="7" borderId="0" xfId="0" applyFont="1" applyFill="1" applyAlignment="1">
      <alignment vertical="center" shrinkToFit="1"/>
    </xf>
    <xf numFmtId="0" fontId="232" fillId="7" borderId="0" xfId="0" applyFont="1" applyFill="1" applyAlignment="1">
      <alignment horizontal="right" vertical="center"/>
    </xf>
    <xf numFmtId="0" fontId="236" fillId="0" borderId="0" xfId="0" applyFont="1"/>
    <xf numFmtId="180" fontId="232" fillId="7" borderId="0" xfId="372" applyNumberFormat="1" applyFont="1" applyFill="1" applyBorder="1" applyAlignment="1">
      <alignment vertical="center"/>
    </xf>
    <xf numFmtId="0" fontId="232" fillId="7" borderId="0" xfId="0" applyFont="1" applyFill="1" applyAlignment="1">
      <alignment horizontal="center" vertical="center"/>
    </xf>
    <xf numFmtId="0" fontId="45" fillId="7" borderId="0" xfId="0" applyFont="1" applyFill="1" applyAlignment="1">
      <alignment vertical="center"/>
    </xf>
    <xf numFmtId="0" fontId="232" fillId="7" borderId="0" xfId="61" applyFont="1" applyFill="1" applyAlignment="1">
      <alignment horizontal="left" vertical="center"/>
    </xf>
    <xf numFmtId="0" fontId="43" fillId="7" borderId="0" xfId="0" applyFont="1" applyFill="1" applyBorder="1" applyAlignment="1">
      <alignment horizontal="center"/>
    </xf>
    <xf numFmtId="186" fontId="43" fillId="7" borderId="0" xfId="0" applyNumberFormat="1" applyFont="1" applyFill="1" applyBorder="1"/>
    <xf numFmtId="201" fontId="43" fillId="7" borderId="0" xfId="26" applyNumberFormat="1" applyFont="1" applyFill="1" applyBorder="1"/>
    <xf numFmtId="201" fontId="43" fillId="7" borderId="0" xfId="0" applyNumberFormat="1" applyFont="1" applyFill="1" applyBorder="1" applyAlignment="1">
      <alignment horizontal="right"/>
    </xf>
    <xf numFmtId="38" fontId="9" fillId="7" borderId="0" xfId="26" applyFont="1" applyFill="1"/>
    <xf numFmtId="38" fontId="19" fillId="7" borderId="0" xfId="26" applyFont="1" applyFill="1" applyAlignment="1">
      <alignment vertical="center"/>
    </xf>
    <xf numFmtId="0" fontId="12" fillId="7" borderId="243" xfId="22" applyFill="1" applyBorder="1" applyAlignment="1" applyProtection="1"/>
    <xf numFmtId="0" fontId="12" fillId="7" borderId="243" xfId="22" applyFill="1" applyBorder="1" applyAlignment="1" applyProtection="1">
      <alignment horizontal="left" vertical="center"/>
    </xf>
    <xf numFmtId="0" fontId="43" fillId="67" borderId="0" xfId="0" applyFont="1" applyFill="1" applyAlignment="1">
      <alignment horizontal="left" vertical="center" wrapText="1"/>
    </xf>
    <xf numFmtId="0" fontId="25" fillId="7" borderId="242" xfId="59" applyFont="1" applyFill="1" applyBorder="1"/>
    <xf numFmtId="178" fontId="38" fillId="7" borderId="152" xfId="26" applyNumberFormat="1" applyFont="1" applyFill="1" applyBorder="1" applyAlignment="1"/>
    <xf numFmtId="178" fontId="38" fillId="7" borderId="170" xfId="26" applyNumberFormat="1" applyFont="1" applyFill="1" applyBorder="1" applyAlignment="1"/>
    <xf numFmtId="178" fontId="38" fillId="7" borderId="140" xfId="26" applyNumberFormat="1" applyFont="1" applyFill="1" applyBorder="1" applyAlignment="1"/>
    <xf numFmtId="178" fontId="38" fillId="7" borderId="167" xfId="26" applyNumberFormat="1" applyFont="1" applyFill="1" applyBorder="1" applyAlignment="1"/>
    <xf numFmtId="178" fontId="38" fillId="7" borderId="138" xfId="26" applyNumberFormat="1" applyFont="1" applyFill="1" applyBorder="1" applyAlignment="1"/>
    <xf numFmtId="178" fontId="38" fillId="7" borderId="176" xfId="26" applyNumberFormat="1" applyFont="1" applyFill="1" applyBorder="1" applyAlignment="1"/>
    <xf numFmtId="0" fontId="0" fillId="7" borderId="3" xfId="0" applyFont="1" applyFill="1" applyBorder="1"/>
    <xf numFmtId="49" fontId="23" fillId="7" borderId="0" xfId="0" applyNumberFormat="1" applyFont="1" applyFill="1" applyAlignment="1">
      <alignment horizontal="right"/>
    </xf>
    <xf numFmtId="216" fontId="23" fillId="7" borderId="0" xfId="0" applyNumberFormat="1" applyFont="1" applyFill="1"/>
    <xf numFmtId="0" fontId="0" fillId="7" borderId="6" xfId="0" applyFont="1" applyFill="1" applyBorder="1" applyAlignment="1">
      <alignment horizontal="center"/>
    </xf>
    <xf numFmtId="0" fontId="43" fillId="7" borderId="6" xfId="0" applyFont="1" applyFill="1" applyBorder="1" applyAlignment="1">
      <alignment horizontal="center"/>
    </xf>
    <xf numFmtId="38" fontId="44" fillId="7" borderId="245" xfId="26" applyFont="1" applyFill="1" applyBorder="1" applyAlignment="1">
      <alignment horizontal="right" vertical="center"/>
    </xf>
    <xf numFmtId="188" fontId="44" fillId="7" borderId="309" xfId="0" applyNumberFormat="1" applyFont="1" applyFill="1" applyBorder="1" applyAlignment="1">
      <alignment horizontal="right" vertical="center"/>
    </xf>
    <xf numFmtId="188" fontId="44" fillId="7" borderId="247" xfId="0" applyNumberFormat="1" applyFont="1" applyFill="1" applyBorder="1" applyAlignment="1">
      <alignment horizontal="right" vertical="center"/>
    </xf>
    <xf numFmtId="38" fontId="44" fillId="7" borderId="308" xfId="26" applyFont="1" applyFill="1" applyBorder="1" applyAlignment="1">
      <alignment horizontal="right" vertical="center"/>
    </xf>
    <xf numFmtId="188" fontId="44" fillId="7" borderId="0" xfId="0" applyNumberFormat="1" applyFont="1" applyFill="1" applyAlignment="1">
      <alignment horizontal="right" vertical="center"/>
    </xf>
    <xf numFmtId="179" fontId="44" fillId="7" borderId="308" xfId="26" applyNumberFormat="1" applyFont="1" applyFill="1" applyBorder="1" applyAlignment="1">
      <alignment horizontal="right" vertical="center" shrinkToFit="1"/>
    </xf>
    <xf numFmtId="202" fontId="44" fillId="7" borderId="247" xfId="0" applyNumberFormat="1" applyFont="1" applyFill="1" applyBorder="1" applyAlignment="1">
      <alignment horizontal="right" vertical="center" shrinkToFit="1"/>
    </xf>
    <xf numFmtId="0" fontId="44" fillId="7" borderId="0" xfId="0" applyFont="1" applyFill="1" applyAlignment="1">
      <alignment horizontal="left" vertical="center" wrapText="1"/>
    </xf>
    <xf numFmtId="0" fontId="44" fillId="66" borderId="0" xfId="59" applyFont="1" applyFill="1" applyAlignment="1">
      <alignment vertical="center"/>
    </xf>
    <xf numFmtId="0" fontId="0" fillId="7" borderId="0" xfId="60" applyFont="1" applyFill="1" applyAlignment="1">
      <alignment vertical="center"/>
    </xf>
    <xf numFmtId="0" fontId="20" fillId="7" borderId="3" xfId="0" applyFont="1" applyFill="1" applyBorder="1" applyAlignment="1">
      <alignment horizontal="center" vertical="center" wrapText="1"/>
    </xf>
    <xf numFmtId="0" fontId="0" fillId="0" borderId="0" xfId="59" applyFont="1" applyAlignment="1">
      <alignment vertical="center"/>
    </xf>
    <xf numFmtId="0" fontId="35" fillId="0" borderId="0" xfId="59" applyFont="1" applyAlignment="1"/>
    <xf numFmtId="0" fontId="236" fillId="0" borderId="0" xfId="0" applyFont="1" applyAlignment="1">
      <alignment vertical="center"/>
    </xf>
    <xf numFmtId="0" fontId="166" fillId="7" borderId="0" xfId="0" applyFont="1" applyFill="1" applyAlignment="1">
      <alignment vertical="center"/>
    </xf>
    <xf numFmtId="0" fontId="43" fillId="7" borderId="0" xfId="0" applyFont="1" applyFill="1" applyAlignment="1">
      <alignment horizontal="center" vertical="center"/>
    </xf>
    <xf numFmtId="0" fontId="43" fillId="7" borderId="6" xfId="0" applyFont="1" applyFill="1" applyBorder="1" applyAlignment="1">
      <alignment horizontal="center"/>
    </xf>
    <xf numFmtId="0" fontId="163" fillId="7" borderId="0" xfId="0" applyFont="1" applyFill="1" applyAlignment="1">
      <alignment horizontal="center" vertical="center"/>
    </xf>
    <xf numFmtId="0" fontId="163" fillId="7" borderId="7" xfId="0" applyFont="1" applyFill="1" applyBorder="1" applyAlignment="1">
      <alignment horizontal="left" vertical="center"/>
    </xf>
    <xf numFmtId="0" fontId="163" fillId="7" borderId="0" xfId="0" applyFont="1" applyFill="1" applyAlignment="1">
      <alignment horizontal="left" vertical="center"/>
    </xf>
    <xf numFmtId="0" fontId="43" fillId="7" borderId="15" xfId="0" applyFont="1" applyFill="1" applyBorder="1" applyAlignment="1">
      <alignment horizontal="center" vertical="center"/>
    </xf>
    <xf numFmtId="0" fontId="43" fillId="7" borderId="255" xfId="0" applyFont="1" applyFill="1" applyBorder="1"/>
    <xf numFmtId="0" fontId="43" fillId="7" borderId="254" xfId="0" applyFont="1" applyFill="1" applyBorder="1" applyAlignment="1">
      <alignment horizontal="center"/>
    </xf>
    <xf numFmtId="0" fontId="43" fillId="7" borderId="286" xfId="0" applyFont="1" applyFill="1" applyBorder="1" applyAlignment="1">
      <alignment horizontal="center"/>
    </xf>
    <xf numFmtId="0" fontId="43" fillId="7" borderId="254" xfId="0" applyFont="1" applyFill="1" applyBorder="1" applyAlignment="1">
      <alignment horizontal="center" wrapText="1"/>
    </xf>
    <xf numFmtId="0" fontId="43" fillId="7" borderId="286" xfId="0" applyFont="1" applyFill="1" applyBorder="1" applyAlignment="1">
      <alignment horizontal="center" wrapText="1"/>
    </xf>
    <xf numFmtId="0" fontId="43" fillId="7" borderId="254" xfId="59" applyFont="1" applyFill="1" applyBorder="1"/>
    <xf numFmtId="0" fontId="43" fillId="7" borderId="254" xfId="59" applyFont="1" applyFill="1" applyBorder="1" applyAlignment="1">
      <alignment horizontal="right"/>
    </xf>
    <xf numFmtId="186" fontId="43" fillId="7" borderId="254" xfId="59" applyNumberFormat="1" applyFont="1" applyFill="1" applyBorder="1"/>
    <xf numFmtId="0" fontId="43" fillId="7" borderId="254" xfId="0" applyFont="1" applyFill="1" applyBorder="1" applyAlignment="1">
      <alignment horizontal="right"/>
    </xf>
    <xf numFmtId="3" fontId="193" fillId="7" borderId="254" xfId="62" applyNumberFormat="1" applyFont="1" applyFill="1" applyBorder="1" applyAlignment="1">
      <alignment horizontal="right" vertical="center"/>
    </xf>
    <xf numFmtId="38" fontId="193" fillId="7" borderId="254" xfId="26" applyFont="1" applyFill="1" applyBorder="1" applyAlignment="1">
      <alignment vertical="center"/>
    </xf>
    <xf numFmtId="3" fontId="193" fillId="7" borderId="254" xfId="62" applyNumberFormat="1" applyFont="1" applyFill="1" applyBorder="1">
      <alignment vertical="center"/>
    </xf>
    <xf numFmtId="38" fontId="43" fillId="7" borderId="254" xfId="26" applyFont="1" applyFill="1" applyBorder="1"/>
    <xf numFmtId="49" fontId="44" fillId="7" borderId="310" xfId="0" applyNumberFormat="1" applyFont="1" applyFill="1" applyBorder="1" applyAlignment="1">
      <alignment horizontal="center" vertical="center"/>
    </xf>
    <xf numFmtId="0" fontId="198" fillId="7" borderId="310" xfId="0" applyFont="1" applyFill="1" applyBorder="1" applyAlignment="1">
      <alignment horizontal="center" vertical="center" wrapText="1"/>
    </xf>
    <xf numFmtId="38" fontId="44" fillId="7" borderId="310" xfId="26" applyFont="1" applyFill="1" applyBorder="1" applyAlignment="1">
      <alignment vertical="center"/>
    </xf>
    <xf numFmtId="38" fontId="198" fillId="7" borderId="310" xfId="26" applyFont="1" applyFill="1" applyBorder="1" applyAlignment="1">
      <alignment horizontal="center" vertical="center"/>
    </xf>
    <xf numFmtId="184" fontId="44" fillId="7" borderId="310" xfId="0" applyNumberFormat="1" applyFont="1" applyFill="1" applyBorder="1" applyAlignment="1">
      <alignment vertical="center"/>
    </xf>
    <xf numFmtId="184" fontId="44" fillId="7" borderId="310" xfId="0" applyNumberFormat="1" applyFont="1" applyFill="1" applyBorder="1" applyAlignment="1">
      <alignment horizontal="center" vertical="center"/>
    </xf>
    <xf numFmtId="184" fontId="198" fillId="7" borderId="310" xfId="0" applyNumberFormat="1" applyFont="1" applyFill="1" applyBorder="1" applyAlignment="1">
      <alignment horizontal="center" vertical="center"/>
    </xf>
    <xf numFmtId="49" fontId="44" fillId="7" borderId="268" xfId="0" applyNumberFormat="1" applyFont="1" applyFill="1" applyBorder="1" applyAlignment="1">
      <alignment horizontal="center" vertical="center"/>
    </xf>
    <xf numFmtId="0" fontId="44" fillId="7" borderId="268" xfId="0" applyFont="1" applyFill="1" applyBorder="1" applyAlignment="1">
      <alignment horizontal="center" vertical="center" wrapText="1"/>
    </xf>
    <xf numFmtId="38" fontId="44" fillId="7" borderId="268" xfId="26" applyFont="1" applyFill="1" applyBorder="1" applyAlignment="1">
      <alignment vertical="center"/>
    </xf>
    <xf numFmtId="38" fontId="44" fillId="7" borderId="268" xfId="26" applyFont="1" applyFill="1" applyBorder="1" applyAlignment="1">
      <alignment horizontal="center" vertical="center"/>
    </xf>
    <xf numFmtId="184" fontId="44" fillId="7" borderId="268" xfId="0" applyNumberFormat="1" applyFont="1" applyFill="1" applyBorder="1" applyAlignment="1">
      <alignment vertical="center"/>
    </xf>
    <xf numFmtId="184" fontId="44" fillId="7" borderId="268" xfId="0" applyNumberFormat="1" applyFont="1" applyFill="1" applyBorder="1" applyAlignment="1">
      <alignment horizontal="center" vertical="center"/>
    </xf>
    <xf numFmtId="214" fontId="169" fillId="7" borderId="45" xfId="0" applyNumberFormat="1" applyFont="1" applyFill="1" applyBorder="1" applyAlignment="1">
      <alignment horizontal="right" vertical="center"/>
    </xf>
    <xf numFmtId="0" fontId="147" fillId="7" borderId="0" xfId="59" applyFont="1" applyFill="1"/>
    <xf numFmtId="38" fontId="0" fillId="7" borderId="0" xfId="26" applyFont="1" applyFill="1" applyAlignment="1">
      <alignment vertical="center"/>
    </xf>
    <xf numFmtId="180" fontId="243" fillId="7" borderId="0" xfId="26" applyNumberFormat="1" applyFont="1" applyFill="1" applyBorder="1" applyAlignment="1">
      <alignment horizontal="left"/>
    </xf>
    <xf numFmtId="180" fontId="242" fillId="7" borderId="0" xfId="0" applyNumberFormat="1" applyFont="1" applyFill="1" applyAlignment="1">
      <alignment horizontal="left"/>
    </xf>
    <xf numFmtId="180" fontId="163" fillId="7" borderId="265" xfId="26" applyNumberFormat="1" applyFont="1" applyFill="1" applyBorder="1" applyAlignment="1">
      <alignment vertical="center"/>
    </xf>
    <xf numFmtId="0" fontId="163" fillId="7" borderId="0" xfId="59" applyFont="1" applyFill="1" applyAlignment="1">
      <alignment horizontal="right" vertical="center"/>
    </xf>
    <xf numFmtId="20" fontId="0" fillId="0" borderId="0" xfId="0" applyNumberFormat="1"/>
    <xf numFmtId="20" fontId="231" fillId="7" borderId="0" xfId="0" applyNumberFormat="1" applyFont="1" applyFill="1" applyAlignment="1">
      <alignment vertical="center"/>
    </xf>
    <xf numFmtId="20" fontId="232" fillId="7" borderId="0" xfId="0" applyNumberFormat="1" applyFont="1" applyFill="1" applyAlignment="1">
      <alignment vertical="center"/>
    </xf>
    <xf numFmtId="20" fontId="20" fillId="7" borderId="0" xfId="0" applyNumberFormat="1" applyFont="1" applyFill="1" applyAlignment="1">
      <alignment vertical="center"/>
    </xf>
    <xf numFmtId="20" fontId="23" fillId="7" borderId="103" xfId="0" applyNumberFormat="1" applyFont="1" applyFill="1" applyBorder="1"/>
    <xf numFmtId="20" fontId="163" fillId="7" borderId="0" xfId="26" applyNumberFormat="1" applyFont="1" applyFill="1" applyAlignment="1">
      <alignment vertical="center"/>
    </xf>
    <xf numFmtId="20" fontId="43" fillId="7" borderId="0" xfId="26" applyNumberFormat="1" applyFont="1" applyFill="1" applyBorder="1" applyAlignment="1">
      <alignment vertical="center"/>
    </xf>
    <xf numFmtId="0" fontId="44" fillId="66" borderId="0" xfId="0" applyFont="1" applyFill="1" applyAlignment="1">
      <alignment horizontal="left" vertical="center"/>
    </xf>
    <xf numFmtId="0" fontId="44" fillId="7" borderId="0" xfId="0" applyFont="1" applyFill="1" applyAlignment="1">
      <alignment horizontal="left" vertical="center"/>
    </xf>
    <xf numFmtId="0" fontId="44" fillId="70" borderId="15" xfId="0" applyFont="1" applyFill="1" applyBorder="1" applyAlignment="1">
      <alignment horizontal="left" vertical="center"/>
    </xf>
    <xf numFmtId="191" fontId="222" fillId="7" borderId="0" xfId="60" applyNumberFormat="1" applyFont="1" applyFill="1" applyAlignment="1">
      <alignment horizontal="right"/>
    </xf>
    <xf numFmtId="180" fontId="163" fillId="7" borderId="15" xfId="0" applyNumberFormat="1" applyFont="1" applyFill="1" applyBorder="1" applyAlignment="1">
      <alignment horizontal="center" vertical="center"/>
    </xf>
    <xf numFmtId="180" fontId="163" fillId="7" borderId="258" xfId="0" applyNumberFormat="1" applyFont="1" applyFill="1" applyBorder="1" applyAlignment="1">
      <alignment horizontal="center" vertical="center"/>
    </xf>
    <xf numFmtId="180" fontId="163" fillId="7" borderId="2" xfId="0" applyNumberFormat="1" applyFont="1" applyFill="1" applyBorder="1" applyAlignment="1">
      <alignment horizontal="center" vertical="center"/>
    </xf>
    <xf numFmtId="180" fontId="220" fillId="7" borderId="15" xfId="0" applyNumberFormat="1" applyFont="1" applyFill="1" applyBorder="1" applyAlignment="1">
      <alignment horizontal="center" vertical="center"/>
    </xf>
    <xf numFmtId="0" fontId="136" fillId="7" borderId="0" xfId="0" applyFont="1" applyFill="1" applyAlignment="1">
      <alignment horizontal="right"/>
    </xf>
    <xf numFmtId="0" fontId="136" fillId="7" borderId="15" xfId="0" applyFont="1" applyFill="1" applyBorder="1" applyAlignment="1"/>
    <xf numFmtId="0" fontId="170" fillId="7" borderId="0" xfId="59" applyFont="1" applyFill="1" applyAlignment="1">
      <alignment horizontal="right" vertical="center"/>
    </xf>
    <xf numFmtId="38" fontId="223" fillId="7" borderId="0" xfId="26" applyFont="1" applyFill="1" applyAlignment="1">
      <alignment horizontal="right"/>
    </xf>
    <xf numFmtId="176" fontId="170" fillId="7" borderId="0" xfId="60" applyNumberFormat="1" applyFont="1" applyFill="1" applyAlignment="1">
      <alignment horizontal="right"/>
    </xf>
    <xf numFmtId="0" fontId="171" fillId="7" borderId="0" xfId="60" applyFont="1" applyFill="1" applyAlignment="1">
      <alignment horizontal="right"/>
    </xf>
    <xf numFmtId="38" fontId="43" fillId="7" borderId="19" xfId="26" applyFont="1" applyFill="1" applyBorder="1"/>
    <xf numFmtId="0" fontId="178" fillId="69" borderId="248" xfId="0" applyFont="1" applyFill="1" applyBorder="1" applyAlignment="1">
      <alignment horizontal="center" vertical="top" wrapText="1"/>
    </xf>
    <xf numFmtId="38" fontId="43" fillId="7" borderId="16" xfId="26" applyFont="1" applyFill="1" applyBorder="1"/>
    <xf numFmtId="0" fontId="172" fillId="69" borderId="245" xfId="0" applyFont="1" applyFill="1" applyBorder="1" applyAlignment="1">
      <alignment horizontal="center" wrapText="1"/>
    </xf>
    <xf numFmtId="0" fontId="43" fillId="0" borderId="0" xfId="0" applyFont="1" applyFill="1" applyAlignment="1">
      <alignment horizontal="left" vertical="center" wrapText="1"/>
    </xf>
    <xf numFmtId="0" fontId="43" fillId="0" borderId="0" xfId="0" applyFont="1" applyFill="1" applyAlignment="1">
      <alignment horizontal="center" vertical="center"/>
    </xf>
    <xf numFmtId="38" fontId="43" fillId="0" borderId="245" xfId="26" applyFont="1" applyFill="1" applyBorder="1" applyAlignment="1">
      <alignment vertical="center"/>
    </xf>
    <xf numFmtId="188" fontId="43" fillId="0" borderId="247" xfId="0" applyNumberFormat="1" applyFont="1" applyFill="1" applyBorder="1" applyAlignment="1">
      <alignment vertical="center"/>
    </xf>
    <xf numFmtId="38" fontId="43" fillId="0" borderId="308" xfId="26" applyFont="1" applyFill="1" applyBorder="1" applyAlignment="1">
      <alignment vertical="center"/>
    </xf>
    <xf numFmtId="188" fontId="43" fillId="0" borderId="309" xfId="0" applyNumberFormat="1" applyFont="1" applyFill="1" applyBorder="1" applyAlignment="1">
      <alignment vertical="center"/>
    </xf>
    <xf numFmtId="179" fontId="43" fillId="0" borderId="308" xfId="26" applyNumberFormat="1" applyFont="1" applyFill="1" applyBorder="1" applyAlignment="1">
      <alignment horizontal="right" vertical="center"/>
    </xf>
    <xf numFmtId="202" fontId="43" fillId="0" borderId="247" xfId="0" applyNumberFormat="1" applyFont="1" applyFill="1" applyBorder="1" applyAlignment="1">
      <alignment horizontal="right" vertical="center"/>
    </xf>
    <xf numFmtId="0" fontId="43" fillId="67" borderId="0" xfId="0" applyFont="1" applyFill="1" applyAlignment="1">
      <alignment horizontal="left" vertical="center"/>
    </xf>
    <xf numFmtId="0" fontId="43" fillId="67" borderId="0" xfId="0" applyFont="1" applyFill="1" applyAlignment="1">
      <alignment horizontal="center" vertical="center"/>
    </xf>
    <xf numFmtId="38" fontId="43" fillId="67" borderId="245" xfId="26" applyFont="1" applyFill="1" applyBorder="1" applyAlignment="1">
      <alignment vertical="center"/>
    </xf>
    <xf numFmtId="188" fontId="43" fillId="67" borderId="247" xfId="0" applyNumberFormat="1" applyFont="1" applyFill="1" applyBorder="1" applyAlignment="1">
      <alignment vertical="center"/>
    </xf>
    <xf numFmtId="38" fontId="43" fillId="67" borderId="308" xfId="26" applyFont="1" applyFill="1" applyBorder="1" applyAlignment="1">
      <alignment vertical="center"/>
    </xf>
    <xf numFmtId="188" fontId="43" fillId="67" borderId="309" xfId="0" applyNumberFormat="1" applyFont="1" applyFill="1" applyBorder="1" applyAlignment="1">
      <alignment vertical="center"/>
    </xf>
    <xf numFmtId="179" fontId="43" fillId="67" borderId="308" xfId="26" applyNumberFormat="1" applyFont="1" applyFill="1" applyBorder="1" applyAlignment="1">
      <alignment horizontal="right" vertical="center"/>
    </xf>
    <xf numFmtId="202" fontId="43" fillId="67" borderId="247" xfId="0" applyNumberFormat="1" applyFont="1" applyFill="1" applyBorder="1" applyAlignment="1">
      <alignment horizontal="right" vertical="center"/>
    </xf>
    <xf numFmtId="0" fontId="0" fillId="7" borderId="0" xfId="59" applyFont="1" applyFill="1"/>
    <xf numFmtId="0" fontId="0" fillId="0" borderId="0" xfId="0"/>
    <xf numFmtId="0" fontId="43" fillId="7" borderId="0" xfId="59" applyFont="1" applyFill="1" applyAlignment="1">
      <alignment vertical="center"/>
    </xf>
    <xf numFmtId="0" fontId="166" fillId="7" borderId="0" xfId="59" applyFont="1" applyFill="1"/>
    <xf numFmtId="38" fontId="198" fillId="68" borderId="271" xfId="26" applyFont="1" applyFill="1" applyBorder="1" applyAlignment="1">
      <alignment horizontal="right" vertical="center" indent="1"/>
    </xf>
    <xf numFmtId="38" fontId="198" fillId="68" borderId="272" xfId="26" applyFont="1" applyFill="1" applyBorder="1" applyAlignment="1">
      <alignment horizontal="right" vertical="center" indent="1"/>
    </xf>
    <xf numFmtId="38" fontId="198" fillId="70" borderId="272" xfId="26" applyFont="1" applyFill="1" applyBorder="1" applyAlignment="1">
      <alignment horizontal="right" vertical="center" indent="1"/>
    </xf>
    <xf numFmtId="38" fontId="44" fillId="7" borderId="310" xfId="26" applyFont="1" applyFill="1" applyBorder="1" applyAlignment="1">
      <alignment horizontal="right" vertical="center" indent="1"/>
    </xf>
    <xf numFmtId="38" fontId="44" fillId="7" borderId="268" xfId="26" applyFont="1" applyFill="1" applyBorder="1" applyAlignment="1">
      <alignment horizontal="right" vertical="center" indent="1"/>
    </xf>
    <xf numFmtId="38" fontId="44" fillId="7" borderId="273" xfId="26" applyFont="1" applyFill="1" applyBorder="1" applyAlignment="1">
      <alignment horizontal="right" vertical="center" indent="1"/>
    </xf>
    <xf numFmtId="0" fontId="43" fillId="7" borderId="0" xfId="59" applyFont="1" applyFill="1" applyAlignment="1">
      <alignment vertical="top"/>
    </xf>
    <xf numFmtId="38" fontId="43" fillId="7" borderId="158" xfId="26" applyFont="1" applyFill="1" applyBorder="1"/>
    <xf numFmtId="38" fontId="43" fillId="7" borderId="133" xfId="26" applyFont="1" applyFill="1" applyBorder="1"/>
    <xf numFmtId="0" fontId="44" fillId="68" borderId="0" xfId="0" applyFont="1" applyFill="1" applyBorder="1" applyAlignment="1">
      <alignment horizontal="center" vertical="center" wrapText="1"/>
    </xf>
    <xf numFmtId="38" fontId="44" fillId="68" borderId="0" xfId="26" applyFont="1" applyFill="1" applyBorder="1" applyAlignment="1">
      <alignment horizontal="center" vertical="center"/>
    </xf>
    <xf numFmtId="0" fontId="198" fillId="7" borderId="272" xfId="0" applyFont="1" applyFill="1" applyBorder="1" applyAlignment="1">
      <alignment horizontal="center" vertical="center" wrapText="1"/>
    </xf>
    <xf numFmtId="38" fontId="198" fillId="7" borderId="272" xfId="26" applyFont="1" applyFill="1" applyBorder="1" applyAlignment="1">
      <alignment horizontal="center" vertical="center"/>
    </xf>
    <xf numFmtId="184" fontId="198" fillId="7" borderId="272" xfId="0" applyNumberFormat="1" applyFont="1" applyFill="1" applyBorder="1" applyAlignment="1">
      <alignment horizontal="center" vertical="center"/>
    </xf>
    <xf numFmtId="38" fontId="198" fillId="68" borderId="0" xfId="26" applyFont="1" applyFill="1" applyBorder="1" applyAlignment="1">
      <alignment vertical="center"/>
    </xf>
    <xf numFmtId="38" fontId="44" fillId="7" borderId="272" xfId="26" applyFont="1" applyFill="1" applyBorder="1" applyAlignment="1">
      <alignment vertical="center"/>
    </xf>
    <xf numFmtId="38" fontId="44" fillId="7" borderId="272" xfId="26" applyFont="1" applyFill="1" applyBorder="1" applyAlignment="1">
      <alignment horizontal="center" vertical="center"/>
    </xf>
    <xf numFmtId="184" fontId="44" fillId="7" borderId="272" xfId="0" applyNumberFormat="1" applyFont="1" applyFill="1" applyBorder="1" applyAlignment="1">
      <alignment vertical="center"/>
    </xf>
    <xf numFmtId="184" fontId="44" fillId="7" borderId="272" xfId="0" applyNumberFormat="1" applyFont="1" applyFill="1" applyBorder="1" applyAlignment="1">
      <alignment horizontal="center" vertical="center"/>
    </xf>
    <xf numFmtId="38" fontId="44" fillId="7" borderId="272" xfId="26" applyFont="1" applyFill="1" applyBorder="1" applyAlignment="1">
      <alignment horizontal="right" vertical="center" indent="1"/>
    </xf>
    <xf numFmtId="49" fontId="44" fillId="7" borderId="272" xfId="0" applyNumberFormat="1" applyFont="1" applyFill="1" applyBorder="1" applyAlignment="1">
      <alignment horizontal="center" vertical="center"/>
    </xf>
    <xf numFmtId="38" fontId="198" fillId="68" borderId="0" xfId="26" applyFont="1" applyFill="1" applyBorder="1" applyAlignment="1">
      <alignment horizontal="center" vertical="center"/>
    </xf>
    <xf numFmtId="184" fontId="198" fillId="68" borderId="0" xfId="0" applyNumberFormat="1" applyFont="1" applyFill="1" applyBorder="1" applyAlignment="1">
      <alignment vertical="center"/>
    </xf>
    <xf numFmtId="184" fontId="198" fillId="68" borderId="0" xfId="0" applyNumberFormat="1" applyFont="1" applyFill="1" applyBorder="1" applyAlignment="1">
      <alignment horizontal="center" vertical="center"/>
    </xf>
    <xf numFmtId="38" fontId="198" fillId="68" borderId="0" xfId="26" applyFont="1" applyFill="1" applyBorder="1" applyAlignment="1">
      <alignment horizontal="right" vertical="center" indent="1"/>
    </xf>
    <xf numFmtId="49" fontId="198" fillId="68" borderId="0" xfId="0" applyNumberFormat="1" applyFont="1" applyFill="1" applyBorder="1" applyAlignment="1">
      <alignment horizontal="center" vertical="center"/>
    </xf>
    <xf numFmtId="180" fontId="12" fillId="7" borderId="0" xfId="22" applyNumberFormat="1" applyFill="1" applyAlignment="1" applyProtection="1"/>
    <xf numFmtId="38" fontId="12" fillId="7" borderId="0" xfId="22" applyNumberFormat="1" applyFill="1" applyAlignment="1" applyProtection="1"/>
    <xf numFmtId="180" fontId="115" fillId="7" borderId="0" xfId="0" applyNumberFormat="1" applyFont="1" applyFill="1"/>
    <xf numFmtId="0" fontId="0" fillId="7" borderId="0" xfId="60" quotePrefix="1" applyFont="1" applyFill="1"/>
    <xf numFmtId="0" fontId="19" fillId="71" borderId="254" xfId="0" applyFont="1" applyFill="1" applyBorder="1" applyAlignment="1">
      <alignment vertical="center" shrinkToFit="1"/>
    </xf>
    <xf numFmtId="38" fontId="19" fillId="71" borderId="254" xfId="26" applyFont="1" applyFill="1" applyBorder="1" applyAlignment="1">
      <alignment vertical="center" shrinkToFit="1"/>
    </xf>
    <xf numFmtId="38" fontId="19" fillId="71" borderId="254" xfId="26" applyFont="1" applyFill="1" applyBorder="1" applyAlignment="1">
      <alignment vertical="center"/>
    </xf>
    <xf numFmtId="49" fontId="9" fillId="7" borderId="255" xfId="0" applyNumberFormat="1" applyFont="1" applyFill="1" applyBorder="1" applyAlignment="1">
      <alignment horizontal="center" vertical="center"/>
    </xf>
    <xf numFmtId="0" fontId="19" fillId="7" borderId="0" xfId="60" applyFont="1" applyFill="1"/>
    <xf numFmtId="38" fontId="195" fillId="0" borderId="44" xfId="26" applyFont="1" applyFill="1" applyBorder="1" applyAlignment="1">
      <alignment horizontal="center" vertical="center"/>
    </xf>
    <xf numFmtId="38" fontId="195" fillId="0" borderId="44" xfId="26" applyFont="1" applyFill="1" applyBorder="1" applyAlignment="1">
      <alignment horizontal="right" vertical="center"/>
    </xf>
    <xf numFmtId="38" fontId="195" fillId="0" borderId="53" xfId="26" applyFont="1" applyFill="1" applyBorder="1" applyAlignment="1">
      <alignment horizontal="right" vertical="center"/>
    </xf>
    <xf numFmtId="38" fontId="195" fillId="0" borderId="65" xfId="26" applyFont="1" applyFill="1" applyBorder="1" applyAlignment="1">
      <alignment horizontal="right" vertical="center"/>
    </xf>
    <xf numFmtId="179" fontId="195" fillId="0" borderId="11" xfId="26" applyNumberFormat="1" applyFont="1" applyFill="1" applyBorder="1" applyAlignment="1">
      <alignment horizontal="right" vertical="center"/>
    </xf>
    <xf numFmtId="38" fontId="195" fillId="0" borderId="16" xfId="26" applyFont="1" applyFill="1" applyBorder="1" applyAlignment="1">
      <alignment horizontal="center" vertical="center"/>
    </xf>
    <xf numFmtId="38" fontId="195" fillId="0" borderId="16" xfId="26" applyFont="1" applyFill="1" applyBorder="1" applyAlignment="1">
      <alignment horizontal="right" vertical="center"/>
    </xf>
    <xf numFmtId="38" fontId="195" fillId="0" borderId="9" xfId="26" applyFont="1" applyFill="1" applyBorder="1" applyAlignment="1">
      <alignment horizontal="right" vertical="center"/>
    </xf>
    <xf numFmtId="38" fontId="195" fillId="0" borderId="66" xfId="26" applyFont="1" applyFill="1" applyBorder="1" applyAlignment="1">
      <alignment horizontal="right" vertical="center"/>
    </xf>
    <xf numFmtId="179" fontId="195" fillId="0" borderId="10" xfId="26" applyNumberFormat="1" applyFont="1" applyFill="1" applyBorder="1" applyAlignment="1">
      <alignment horizontal="right" vertical="center"/>
    </xf>
    <xf numFmtId="38" fontId="195" fillId="0" borderId="80" xfId="26" applyFont="1" applyFill="1" applyBorder="1" applyAlignment="1">
      <alignment horizontal="left" vertical="center"/>
    </xf>
    <xf numFmtId="176" fontId="195" fillId="0" borderId="80" xfId="26" applyNumberFormat="1" applyFont="1" applyFill="1" applyBorder="1" applyAlignment="1">
      <alignment horizontal="right" vertical="center"/>
    </xf>
    <xf numFmtId="176" fontId="195" fillId="0" borderId="80" xfId="26" applyNumberFormat="1" applyFont="1" applyFill="1" applyBorder="1" applyAlignment="1">
      <alignment vertical="center"/>
    </xf>
    <xf numFmtId="176" fontId="195" fillId="0" borderId="59" xfId="26" applyNumberFormat="1" applyFont="1" applyFill="1" applyBorder="1" applyAlignment="1">
      <alignment vertical="center"/>
    </xf>
    <xf numFmtId="176" fontId="195" fillId="0" borderId="7" xfId="26" applyNumberFormat="1" applyFont="1" applyFill="1" applyBorder="1" applyAlignment="1">
      <alignment vertical="center"/>
    </xf>
    <xf numFmtId="176" fontId="195" fillId="0" borderId="122" xfId="26" applyNumberFormat="1" applyFont="1" applyFill="1" applyBorder="1" applyAlignment="1">
      <alignment vertical="center"/>
    </xf>
    <xf numFmtId="179" fontId="195" fillId="0" borderId="116" xfId="26" applyNumberFormat="1" applyFont="1" applyFill="1" applyBorder="1" applyAlignment="1">
      <alignment horizontal="right" vertical="center"/>
    </xf>
    <xf numFmtId="3" fontId="43" fillId="7" borderId="0" xfId="61" applyNumberFormat="1" applyFont="1" applyFill="1"/>
    <xf numFmtId="0" fontId="19" fillId="7" borderId="254" xfId="0" applyFont="1" applyFill="1" applyBorder="1" applyAlignment="1">
      <alignment vertical="center" shrinkToFit="1"/>
    </xf>
    <xf numFmtId="38" fontId="19" fillId="7" borderId="254" xfId="26" applyFont="1" applyFill="1" applyBorder="1" applyAlignment="1">
      <alignment vertical="center" shrinkToFit="1"/>
    </xf>
    <xf numFmtId="38" fontId="19" fillId="7" borderId="254" xfId="26" applyFont="1" applyFill="1" applyBorder="1" applyAlignment="1">
      <alignment vertical="center"/>
    </xf>
    <xf numFmtId="38" fontId="7" fillId="7" borderId="254" xfId="26" applyFont="1" applyFill="1" applyBorder="1" applyAlignment="1">
      <alignment horizontal="right"/>
    </xf>
    <xf numFmtId="38" fontId="0" fillId="7" borderId="254" xfId="26" applyFont="1" applyFill="1" applyBorder="1" applyAlignment="1">
      <alignment horizontal="right"/>
    </xf>
    <xf numFmtId="38" fontId="37" fillId="7" borderId="254" xfId="26" applyFont="1" applyFill="1" applyBorder="1" applyAlignment="1">
      <alignment horizontal="right"/>
    </xf>
    <xf numFmtId="0" fontId="7" fillId="7" borderId="254" xfId="60" applyFill="1" applyBorder="1" applyAlignment="1">
      <alignment horizontal="right"/>
    </xf>
    <xf numFmtId="0" fontId="39" fillId="7" borderId="254" xfId="60" applyFont="1" applyFill="1" applyBorder="1"/>
    <xf numFmtId="0" fontId="40" fillId="7" borderId="254" xfId="60" applyFont="1" applyFill="1" applyBorder="1"/>
    <xf numFmtId="3" fontId="43" fillId="7" borderId="3" xfId="0" applyNumberFormat="1" applyFont="1" applyFill="1" applyBorder="1"/>
    <xf numFmtId="3" fontId="43" fillId="7" borderId="3" xfId="0" applyNumberFormat="1" applyFont="1" applyFill="1" applyBorder="1" applyAlignment="1">
      <alignment wrapText="1"/>
    </xf>
    <xf numFmtId="0" fontId="246" fillId="7" borderId="0" xfId="0" applyFont="1" applyFill="1"/>
    <xf numFmtId="0" fontId="0" fillId="7" borderId="254" xfId="60" applyFont="1" applyFill="1" applyBorder="1" applyAlignment="1">
      <alignment horizontal="right"/>
    </xf>
    <xf numFmtId="0" fontId="33" fillId="7" borderId="0" xfId="61" applyFont="1" applyFill="1" applyAlignment="1">
      <alignment horizontal="center"/>
    </xf>
    <xf numFmtId="49" fontId="26" fillId="0" borderId="0" xfId="22" applyNumberFormat="1" applyFont="1" applyAlignment="1" applyProtection="1">
      <alignment horizontal="center"/>
    </xf>
    <xf numFmtId="0" fontId="30" fillId="0" borderId="0" xfId="61" applyFont="1" applyAlignment="1">
      <alignment horizontal="right"/>
    </xf>
    <xf numFmtId="55" fontId="31" fillId="0" borderId="0" xfId="22" applyNumberFormat="1" applyFont="1" applyAlignment="1" applyProtection="1">
      <alignment horizontal="right"/>
    </xf>
    <xf numFmtId="0" fontId="157" fillId="7" borderId="0" xfId="61" applyFont="1" applyFill="1" applyAlignment="1">
      <alignment horizontal="right"/>
    </xf>
    <xf numFmtId="0" fontId="158" fillId="7" borderId="0" xfId="61" applyFont="1" applyFill="1" applyAlignment="1">
      <alignment horizontal="center" vertical="center"/>
    </xf>
    <xf numFmtId="0" fontId="159" fillId="7" borderId="0" xfId="61" applyFont="1" applyFill="1" applyAlignment="1">
      <alignment horizontal="center" vertical="center"/>
    </xf>
    <xf numFmtId="0" fontId="160" fillId="7" borderId="0" xfId="61" applyFont="1" applyFill="1" applyAlignment="1">
      <alignment horizontal="center" vertical="center"/>
    </xf>
    <xf numFmtId="55" fontId="31" fillId="7" borderId="0" xfId="22" applyNumberFormat="1" applyFont="1" applyFill="1" applyAlignment="1" applyProtection="1">
      <alignment horizontal="right"/>
    </xf>
    <xf numFmtId="0" fontId="32" fillId="7" borderId="0" xfId="61" applyFont="1" applyFill="1" applyAlignment="1">
      <alignment horizontal="center" vertical="center"/>
    </xf>
    <xf numFmtId="180" fontId="212" fillId="66" borderId="0" xfId="26" applyNumberFormat="1" applyFont="1" applyFill="1" applyBorder="1" applyAlignment="1">
      <alignment horizontal="left" vertical="center"/>
    </xf>
    <xf numFmtId="0" fontId="44" fillId="66" borderId="0" xfId="0" applyFont="1" applyFill="1" applyAlignment="1">
      <alignment horizontal="left" vertical="center"/>
    </xf>
    <xf numFmtId="180" fontId="212" fillId="7" borderId="15" xfId="26" applyNumberFormat="1" applyFont="1" applyFill="1" applyBorder="1" applyAlignment="1">
      <alignment horizontal="left" vertical="center"/>
    </xf>
    <xf numFmtId="0" fontId="44" fillId="7" borderId="15" xfId="0" applyFont="1" applyFill="1" applyBorder="1" applyAlignment="1">
      <alignment horizontal="left" vertical="center"/>
    </xf>
    <xf numFmtId="180" fontId="212" fillId="7" borderId="0" xfId="26" applyNumberFormat="1" applyFont="1" applyFill="1" applyBorder="1" applyAlignment="1">
      <alignment horizontal="left" vertical="center"/>
    </xf>
    <xf numFmtId="0" fontId="44" fillId="7" borderId="0" xfId="0" applyFont="1" applyFill="1" applyAlignment="1">
      <alignment horizontal="left" vertical="center"/>
    </xf>
    <xf numFmtId="180" fontId="44" fillId="66" borderId="0" xfId="26" applyNumberFormat="1" applyFont="1" applyFill="1" applyBorder="1" applyAlignment="1">
      <alignment horizontal="left" vertical="center"/>
    </xf>
    <xf numFmtId="180" fontId="44" fillId="7" borderId="0" xfId="26" applyNumberFormat="1" applyFont="1" applyFill="1" applyBorder="1" applyAlignment="1">
      <alignment horizontal="left" vertical="center"/>
    </xf>
    <xf numFmtId="180" fontId="136" fillId="66" borderId="15" xfId="26" applyNumberFormat="1" applyFont="1" applyFill="1" applyBorder="1" applyAlignment="1">
      <alignment horizontal="left" vertical="center"/>
    </xf>
    <xf numFmtId="0" fontId="136" fillId="66" borderId="15" xfId="0" applyFont="1" applyFill="1" applyBorder="1" applyAlignment="1">
      <alignment horizontal="left" vertical="center"/>
    </xf>
    <xf numFmtId="180" fontId="141" fillId="7" borderId="258" xfId="0" applyNumberFormat="1" applyFont="1" applyFill="1" applyBorder="1" applyAlignment="1">
      <alignment horizontal="left" vertical="center"/>
    </xf>
    <xf numFmtId="180" fontId="212" fillId="66" borderId="243" xfId="26" applyNumberFormat="1" applyFont="1" applyFill="1" applyBorder="1" applyAlignment="1">
      <alignment horizontal="left" vertical="center"/>
    </xf>
    <xf numFmtId="180" fontId="44" fillId="66" borderId="243" xfId="26" applyNumberFormat="1" applyFont="1" applyFill="1" applyBorder="1" applyAlignment="1">
      <alignment horizontal="left" vertical="center"/>
    </xf>
    <xf numFmtId="49" fontId="9" fillId="7" borderId="200" xfId="0" applyNumberFormat="1" applyFont="1" applyFill="1" applyBorder="1" applyAlignment="1">
      <alignment horizontal="center" vertical="center"/>
    </xf>
    <xf numFmtId="49" fontId="9" fillId="7" borderId="197" xfId="0" applyNumberFormat="1" applyFont="1" applyFill="1" applyBorder="1" applyAlignment="1">
      <alignment horizontal="center" vertical="center"/>
    </xf>
    <xf numFmtId="180" fontId="136" fillId="66" borderId="243" xfId="26" applyNumberFormat="1" applyFont="1" applyFill="1" applyBorder="1" applyAlignment="1">
      <alignment horizontal="left" vertical="center"/>
    </xf>
    <xf numFmtId="180" fontId="136" fillId="7" borderId="0" xfId="26" applyNumberFormat="1" applyFont="1" applyFill="1" applyBorder="1" applyAlignment="1">
      <alignment horizontal="left" vertical="center"/>
    </xf>
    <xf numFmtId="0" fontId="136" fillId="7" borderId="0" xfId="0" applyFont="1" applyFill="1" applyAlignment="1">
      <alignment horizontal="left" vertical="center"/>
    </xf>
    <xf numFmtId="180" fontId="136" fillId="66" borderId="0" xfId="26" applyNumberFormat="1" applyFont="1" applyFill="1" applyBorder="1" applyAlignment="1">
      <alignment horizontal="left" vertical="center"/>
    </xf>
    <xf numFmtId="0" fontId="136" fillId="66" borderId="0" xfId="0" applyFont="1" applyFill="1" applyAlignment="1">
      <alignment horizontal="left" vertical="center"/>
    </xf>
    <xf numFmtId="49" fontId="9" fillId="7" borderId="255" xfId="0" applyNumberFormat="1" applyFont="1" applyFill="1" applyBorder="1" applyAlignment="1">
      <alignment horizontal="center" vertical="center"/>
    </xf>
    <xf numFmtId="49" fontId="9" fillId="7" borderId="186" xfId="0" applyNumberFormat="1" applyFont="1" applyFill="1" applyBorder="1" applyAlignment="1">
      <alignment horizontal="center" vertical="center"/>
    </xf>
    <xf numFmtId="49" fontId="9" fillId="7" borderId="298" xfId="0" applyNumberFormat="1" applyFont="1" applyFill="1" applyBorder="1" applyAlignment="1">
      <alignment horizontal="center" vertical="center"/>
    </xf>
    <xf numFmtId="49" fontId="9" fillId="7" borderId="181" xfId="0" applyNumberFormat="1" applyFont="1" applyFill="1" applyBorder="1" applyAlignment="1">
      <alignment horizontal="center" vertical="center"/>
    </xf>
    <xf numFmtId="0" fontId="164" fillId="65" borderId="246" xfId="0" applyFont="1" applyFill="1" applyBorder="1" applyAlignment="1">
      <alignment horizontal="center" vertical="center" wrapText="1"/>
    </xf>
    <xf numFmtId="0" fontId="164" fillId="65" borderId="256" xfId="0" applyFont="1" applyFill="1" applyBorder="1" applyAlignment="1">
      <alignment horizontal="center" vertical="center"/>
    </xf>
    <xf numFmtId="180" fontId="9" fillId="7" borderId="242" xfId="0" applyNumberFormat="1" applyFont="1" applyFill="1" applyBorder="1" applyAlignment="1">
      <alignment horizontal="center" vertical="center"/>
    </xf>
    <xf numFmtId="180" fontId="9" fillId="7" borderId="243" xfId="0" applyNumberFormat="1" applyFont="1" applyFill="1" applyBorder="1" applyAlignment="1">
      <alignment horizontal="center" vertical="center"/>
    </xf>
    <xf numFmtId="180" fontId="9" fillId="7" borderId="154" xfId="0" applyNumberFormat="1" applyFont="1" applyFill="1" applyBorder="1" applyAlignment="1">
      <alignment horizontal="center" vertical="center"/>
    </xf>
    <xf numFmtId="180" fontId="9" fillId="7" borderId="198" xfId="0" applyNumberFormat="1" applyFont="1" applyFill="1" applyBorder="1" applyAlignment="1">
      <alignment horizontal="center" vertical="center"/>
    </xf>
    <xf numFmtId="0" fontId="164" fillId="69" borderId="246" xfId="0" applyFont="1" applyFill="1" applyBorder="1" applyAlignment="1">
      <alignment horizontal="center" vertical="center" wrapText="1"/>
    </xf>
    <xf numFmtId="0" fontId="164" fillId="69" borderId="256" xfId="0" applyFont="1" applyFill="1" applyBorder="1" applyAlignment="1">
      <alignment horizontal="center" vertical="center"/>
    </xf>
    <xf numFmtId="180" fontId="137" fillId="7" borderId="0" xfId="0" applyNumberFormat="1" applyFont="1" applyFill="1" applyAlignment="1">
      <alignment horizontal="center" vertical="center"/>
    </xf>
    <xf numFmtId="180" fontId="137" fillId="7" borderId="15" xfId="0" applyNumberFormat="1" applyFont="1" applyFill="1" applyBorder="1" applyAlignment="1">
      <alignment horizontal="center" vertical="center"/>
    </xf>
    <xf numFmtId="0" fontId="137" fillId="7" borderId="0" xfId="0" applyFont="1" applyFill="1" applyAlignment="1">
      <alignment horizontal="center" vertical="center"/>
    </xf>
    <xf numFmtId="0" fontId="137" fillId="7" borderId="15" xfId="0" applyFont="1" applyFill="1" applyBorder="1" applyAlignment="1">
      <alignment horizontal="center" vertical="center"/>
    </xf>
    <xf numFmtId="49" fontId="164" fillId="69" borderId="245" xfId="0" applyNumberFormat="1" applyFont="1" applyFill="1" applyBorder="1" applyAlignment="1">
      <alignment horizontal="center" vertical="center" wrapText="1"/>
    </xf>
    <xf numFmtId="0" fontId="164" fillId="69" borderId="248" xfId="0" applyFont="1" applyFill="1" applyBorder="1" applyAlignment="1">
      <alignment horizontal="center" vertical="center"/>
    </xf>
    <xf numFmtId="196" fontId="18" fillId="5" borderId="242" xfId="26" applyNumberFormat="1" applyFont="1" applyFill="1" applyBorder="1" applyAlignment="1">
      <alignment horizontal="center" vertical="center"/>
    </xf>
    <xf numFmtId="196" fontId="18" fillId="5" borderId="7" xfId="26" applyNumberFormat="1" applyFont="1" applyFill="1" applyBorder="1" applyAlignment="1">
      <alignment horizontal="center" vertical="center"/>
    </xf>
    <xf numFmtId="196" fontId="18" fillId="5" borderId="154" xfId="26" applyNumberFormat="1" applyFont="1" applyFill="1" applyBorder="1" applyAlignment="1">
      <alignment horizontal="center" vertical="center"/>
    </xf>
    <xf numFmtId="196" fontId="18" fillId="5" borderId="114" xfId="26" applyNumberFormat="1" applyFont="1" applyFill="1" applyBorder="1" applyAlignment="1">
      <alignment horizontal="center" vertical="center"/>
    </xf>
    <xf numFmtId="196" fontId="18" fillId="5" borderId="46" xfId="26" applyNumberFormat="1" applyFont="1" applyFill="1" applyBorder="1" applyAlignment="1">
      <alignment horizontal="center" vertical="center"/>
    </xf>
    <xf numFmtId="196" fontId="18" fillId="5" borderId="203" xfId="26" applyNumberFormat="1" applyFont="1" applyFill="1" applyBorder="1" applyAlignment="1">
      <alignment horizontal="center" vertical="center"/>
    </xf>
    <xf numFmtId="196" fontId="18" fillId="5" borderId="22" xfId="26" applyNumberFormat="1" applyFont="1" applyFill="1" applyBorder="1" applyAlignment="1">
      <alignment horizontal="center" vertical="center"/>
    </xf>
    <xf numFmtId="196" fontId="18" fillId="5" borderId="8" xfId="26" applyNumberFormat="1" applyFont="1" applyFill="1" applyBorder="1" applyAlignment="1">
      <alignment horizontal="center" vertical="center"/>
    </xf>
    <xf numFmtId="196" fontId="18" fillId="5" borderId="186" xfId="26" applyNumberFormat="1" applyFont="1" applyFill="1" applyBorder="1" applyAlignment="1">
      <alignment horizontal="center" vertical="center"/>
    </xf>
    <xf numFmtId="196" fontId="18" fillId="6" borderId="22" xfId="26" applyNumberFormat="1" applyFont="1" applyFill="1" applyBorder="1" applyAlignment="1">
      <alignment horizontal="center" vertical="center"/>
    </xf>
    <xf numFmtId="196" fontId="18" fillId="6" borderId="8" xfId="26" applyNumberFormat="1" applyFont="1" applyFill="1" applyBorder="1" applyAlignment="1">
      <alignment horizontal="center" vertical="center"/>
    </xf>
    <xf numFmtId="196" fontId="18" fillId="6" borderId="186" xfId="26" applyNumberFormat="1" applyFont="1" applyFill="1" applyBorder="1" applyAlignment="1">
      <alignment horizontal="center" vertical="center"/>
    </xf>
    <xf numFmtId="0" fontId="135" fillId="7" borderId="0" xfId="0" applyFont="1" applyFill="1" applyAlignment="1">
      <alignment horizontal="center" vertical="center"/>
    </xf>
    <xf numFmtId="0" fontId="166" fillId="7" borderId="243" xfId="0" applyFont="1" applyFill="1" applyBorder="1" applyAlignment="1">
      <alignment horizontal="left" vertical="center" shrinkToFit="1"/>
    </xf>
    <xf numFmtId="0" fontId="166" fillId="7" borderId="0" xfId="0" applyFont="1" applyFill="1" applyAlignment="1">
      <alignment horizontal="left" vertical="center" shrinkToFit="1"/>
    </xf>
    <xf numFmtId="0" fontId="166" fillId="68" borderId="0" xfId="0" applyFont="1" applyFill="1" applyAlignment="1">
      <alignment horizontal="left" vertical="center" shrinkToFit="1"/>
    </xf>
    <xf numFmtId="0" fontId="0" fillId="0" borderId="242" xfId="0" applyBorder="1" applyAlignment="1">
      <alignment horizontal="center"/>
    </xf>
    <xf numFmtId="0" fontId="0" fillId="0" borderId="244" xfId="0" applyBorder="1" applyAlignment="1">
      <alignment horizontal="center"/>
    </xf>
    <xf numFmtId="0" fontId="0" fillId="0" borderId="7" xfId="0" applyBorder="1" applyAlignment="1">
      <alignment horizontal="center"/>
    </xf>
    <xf numFmtId="0" fontId="0" fillId="0" borderId="45" xfId="0" applyBorder="1" applyAlignment="1">
      <alignment horizontal="center"/>
    </xf>
    <xf numFmtId="0" fontId="0" fillId="0" borderId="154" xfId="0" applyBorder="1" applyAlignment="1">
      <alignment horizontal="center"/>
    </xf>
    <xf numFmtId="0" fontId="0" fillId="0" borderId="199" xfId="0" applyBorder="1" applyAlignment="1">
      <alignment horizontal="center"/>
    </xf>
    <xf numFmtId="196" fontId="172" fillId="69" borderId="245" xfId="0" applyNumberFormat="1" applyFont="1" applyFill="1" applyBorder="1" applyAlignment="1">
      <alignment horizontal="center" vertical="center"/>
    </xf>
    <xf numFmtId="196" fontId="172" fillId="69" borderId="248" xfId="0" applyNumberFormat="1" applyFont="1" applyFill="1" applyBorder="1" applyAlignment="1">
      <alignment horizontal="center" vertical="center"/>
    </xf>
    <xf numFmtId="196" fontId="172" fillId="69" borderId="246" xfId="0" applyNumberFormat="1" applyFont="1" applyFill="1" applyBorder="1" applyAlignment="1">
      <alignment horizontal="center" vertical="center"/>
    </xf>
    <xf numFmtId="196" fontId="172" fillId="69" borderId="256" xfId="0" applyNumberFormat="1" applyFont="1" applyFill="1" applyBorder="1" applyAlignment="1">
      <alignment horizontal="center" vertical="center"/>
    </xf>
    <xf numFmtId="196" fontId="172" fillId="65" borderId="246" xfId="0" applyNumberFormat="1" applyFont="1" applyFill="1" applyBorder="1" applyAlignment="1">
      <alignment horizontal="center" vertical="center"/>
    </xf>
    <xf numFmtId="196" fontId="172" fillId="65" borderId="256" xfId="0" applyNumberFormat="1" applyFont="1" applyFill="1" applyBorder="1" applyAlignment="1">
      <alignment horizontal="center" vertical="center"/>
    </xf>
    <xf numFmtId="0" fontId="166" fillId="7" borderId="0" xfId="0" applyFont="1" applyFill="1" applyAlignment="1">
      <alignment vertical="center"/>
    </xf>
    <xf numFmtId="0" fontId="166" fillId="68" borderId="243" xfId="0" applyFont="1" applyFill="1" applyBorder="1" applyAlignment="1">
      <alignment horizontal="left" vertical="center" shrinkToFit="1"/>
    </xf>
    <xf numFmtId="0" fontId="166" fillId="7" borderId="15" xfId="0" applyFont="1" applyFill="1" applyBorder="1" applyAlignment="1">
      <alignment horizontal="left" vertical="center"/>
    </xf>
    <xf numFmtId="0" fontId="170" fillId="7" borderId="0" xfId="0" applyFont="1" applyFill="1" applyAlignment="1">
      <alignment vertical="top" wrapText="1"/>
    </xf>
    <xf numFmtId="0" fontId="166" fillId="7" borderId="15" xfId="0" applyFont="1" applyFill="1" applyBorder="1" applyAlignment="1">
      <alignment vertical="center"/>
    </xf>
    <xf numFmtId="0" fontId="173" fillId="68" borderId="0" xfId="0" applyFont="1" applyFill="1" applyAlignment="1">
      <alignment horizontal="left" vertical="center" shrinkToFit="1"/>
    </xf>
    <xf numFmtId="196" fontId="43" fillId="7" borderId="139" xfId="26" applyNumberFormat="1" applyFont="1" applyFill="1" applyBorder="1" applyAlignment="1">
      <alignment horizontal="center" vertical="center"/>
    </xf>
    <xf numFmtId="196" fontId="43" fillId="7" borderId="140" xfId="26" applyNumberFormat="1" applyFont="1" applyFill="1" applyBorder="1" applyAlignment="1">
      <alignment horizontal="center" vertical="center"/>
    </xf>
    <xf numFmtId="196" fontId="43" fillId="7" borderId="200" xfId="26" applyNumberFormat="1" applyFont="1" applyFill="1" applyBorder="1" applyAlignment="1">
      <alignment horizontal="center" vertical="center"/>
    </xf>
    <xf numFmtId="196" fontId="43" fillId="7" borderId="66" xfId="26" applyNumberFormat="1" applyFont="1" applyFill="1" applyBorder="1" applyAlignment="1">
      <alignment horizontal="center" vertical="center"/>
    </xf>
    <xf numFmtId="196" fontId="43" fillId="7" borderId="22" xfId="26" applyNumberFormat="1" applyFont="1" applyFill="1" applyBorder="1" applyAlignment="1">
      <alignment horizontal="center" vertical="center"/>
    </xf>
    <xf numFmtId="196" fontId="43" fillId="7" borderId="6" xfId="26" applyNumberFormat="1" applyFont="1" applyFill="1" applyBorder="1" applyAlignment="1">
      <alignment horizontal="center" vertical="center"/>
    </xf>
    <xf numFmtId="0" fontId="212" fillId="7" borderId="0" xfId="0" applyFont="1" applyFill="1" applyAlignment="1">
      <alignment horizontal="left" vertical="center"/>
    </xf>
    <xf numFmtId="0" fontId="212" fillId="70" borderId="15" xfId="0" applyFont="1" applyFill="1" applyBorder="1" applyAlignment="1">
      <alignment horizontal="left" vertical="center"/>
    </xf>
    <xf numFmtId="0" fontId="44" fillId="70" borderId="15" xfId="0" applyFont="1" applyFill="1" applyBorder="1" applyAlignment="1">
      <alignment horizontal="left" vertical="center"/>
    </xf>
    <xf numFmtId="0" fontId="43" fillId="7" borderId="22" xfId="0" applyFont="1" applyFill="1" applyBorder="1" applyAlignment="1">
      <alignment horizontal="center"/>
    </xf>
    <xf numFmtId="0" fontId="43" fillId="7" borderId="6" xfId="0" applyFont="1" applyFill="1" applyBorder="1" applyAlignment="1">
      <alignment horizontal="center"/>
    </xf>
    <xf numFmtId="196" fontId="43" fillId="5" borderId="22" xfId="26" applyNumberFormat="1" applyFont="1" applyFill="1" applyBorder="1" applyAlignment="1">
      <alignment horizontal="center" vertical="center"/>
    </xf>
    <xf numFmtId="196" fontId="43" fillId="5" borderId="8" xfId="26" applyNumberFormat="1" applyFont="1" applyFill="1" applyBorder="1" applyAlignment="1">
      <alignment horizontal="center" vertical="center"/>
    </xf>
    <xf numFmtId="196" fontId="43" fillId="5" borderId="186" xfId="26" applyNumberFormat="1" applyFont="1" applyFill="1" applyBorder="1" applyAlignment="1">
      <alignment horizontal="center" vertical="center"/>
    </xf>
    <xf numFmtId="196" fontId="43" fillId="5" borderId="139" xfId="26" applyNumberFormat="1" applyFont="1" applyFill="1" applyBorder="1" applyAlignment="1">
      <alignment horizontal="center" vertical="center"/>
    </xf>
    <xf numFmtId="196" fontId="43" fillId="5" borderId="145" xfId="26" applyNumberFormat="1" applyFont="1" applyFill="1" applyBorder="1" applyAlignment="1">
      <alignment horizontal="center" vertical="center"/>
    </xf>
    <xf numFmtId="196" fontId="43" fillId="5" borderId="181" xfId="26" applyNumberFormat="1" applyFont="1" applyFill="1" applyBorder="1" applyAlignment="1">
      <alignment horizontal="center" vertical="center"/>
    </xf>
    <xf numFmtId="196" fontId="43" fillId="5" borderId="202" xfId="26" applyNumberFormat="1" applyFont="1" applyFill="1" applyBorder="1" applyAlignment="1">
      <alignment horizontal="center" vertical="center"/>
    </xf>
    <xf numFmtId="196" fontId="43" fillId="5" borderId="109" xfId="26" applyNumberFormat="1" applyFont="1" applyFill="1" applyBorder="1" applyAlignment="1">
      <alignment horizontal="center" vertical="center"/>
    </xf>
    <xf numFmtId="196" fontId="43" fillId="5" borderId="201" xfId="26" applyNumberFormat="1" applyFont="1" applyFill="1" applyBorder="1" applyAlignment="1">
      <alignment horizontal="center" vertical="center"/>
    </xf>
    <xf numFmtId="0" fontId="225" fillId="66" borderId="243" xfId="0" applyFont="1" applyFill="1" applyBorder="1" applyAlignment="1">
      <alignment horizontal="left" vertical="center"/>
    </xf>
    <xf numFmtId="0" fontId="44" fillId="66" borderId="243" xfId="0" applyFont="1" applyFill="1" applyBorder="1" applyAlignment="1">
      <alignment horizontal="left" vertical="center"/>
    </xf>
    <xf numFmtId="196" fontId="43" fillId="6" borderId="22" xfId="26" applyNumberFormat="1" applyFont="1" applyFill="1" applyBorder="1" applyAlignment="1">
      <alignment horizontal="center" vertical="center"/>
    </xf>
    <xf numFmtId="196" fontId="43" fillId="6" borderId="8" xfId="26" applyNumberFormat="1" applyFont="1" applyFill="1" applyBorder="1" applyAlignment="1">
      <alignment horizontal="center" vertical="center"/>
    </xf>
    <xf numFmtId="196" fontId="43" fillId="6" borderId="186" xfId="26" applyNumberFormat="1" applyFont="1" applyFill="1" applyBorder="1" applyAlignment="1">
      <alignment horizontal="center" vertical="center"/>
    </xf>
    <xf numFmtId="0" fontId="43" fillId="7" borderId="0" xfId="0" applyFont="1" applyFill="1" applyAlignment="1">
      <alignment horizontal="center" vertical="center"/>
    </xf>
    <xf numFmtId="196" fontId="172" fillId="65" borderId="245" xfId="0" applyNumberFormat="1" applyFont="1" applyFill="1" applyBorder="1" applyAlignment="1">
      <alignment horizontal="center" vertical="center"/>
    </xf>
    <xf numFmtId="196" fontId="172" fillId="65" borderId="248" xfId="0" applyNumberFormat="1" applyFont="1" applyFill="1" applyBorder="1" applyAlignment="1">
      <alignment horizontal="center" vertical="center"/>
    </xf>
    <xf numFmtId="0" fontId="43" fillId="7" borderId="254" xfId="59" applyFont="1" applyFill="1" applyBorder="1" applyAlignment="1">
      <alignment horizontal="center" vertical="center"/>
    </xf>
    <xf numFmtId="0" fontId="237" fillId="72" borderId="254" xfId="59" applyFont="1" applyFill="1" applyBorder="1" applyAlignment="1">
      <alignment horizontal="center" vertical="center"/>
    </xf>
    <xf numFmtId="0" fontId="238" fillId="72" borderId="254" xfId="373" applyFont="1" applyFill="1" applyBorder="1" applyAlignment="1">
      <alignment horizontal="center" vertical="center"/>
    </xf>
    <xf numFmtId="0" fontId="240" fillId="72" borderId="254" xfId="373" applyFont="1" applyFill="1" applyBorder="1" applyAlignment="1">
      <alignment horizontal="center" vertical="center"/>
    </xf>
    <xf numFmtId="0" fontId="212" fillId="70" borderId="15" xfId="59" applyFont="1" applyFill="1" applyBorder="1" applyAlignment="1">
      <alignment horizontal="left" vertical="center"/>
    </xf>
    <xf numFmtId="0" fontId="44" fillId="70" borderId="15" xfId="59" applyFont="1" applyFill="1" applyBorder="1" applyAlignment="1">
      <alignment horizontal="left" vertical="center"/>
    </xf>
    <xf numFmtId="0" fontId="43" fillId="7" borderId="22" xfId="0" applyFont="1" applyFill="1" applyBorder="1" applyAlignment="1">
      <alignment horizontal="center" vertical="center"/>
    </xf>
    <xf numFmtId="0" fontId="43" fillId="7" borderId="8" xfId="0" applyFont="1" applyFill="1" applyBorder="1" applyAlignment="1">
      <alignment horizontal="center" vertical="center"/>
    </xf>
    <xf numFmtId="0" fontId="43" fillId="7" borderId="186" xfId="0" applyFont="1" applyFill="1" applyBorder="1" applyAlignment="1">
      <alignment horizontal="center" vertical="center"/>
    </xf>
    <xf numFmtId="0" fontId="43" fillId="7" borderId="139" xfId="0" applyFont="1" applyFill="1" applyBorder="1" applyAlignment="1">
      <alignment horizontal="center" vertical="center"/>
    </xf>
    <xf numFmtId="0" fontId="43" fillId="7" borderId="145" xfId="0" applyFont="1" applyFill="1" applyBorder="1" applyAlignment="1">
      <alignment horizontal="center" vertical="center"/>
    </xf>
    <xf numFmtId="0" fontId="43" fillId="7" borderId="181" xfId="0" applyFont="1" applyFill="1" applyBorder="1" applyAlignment="1">
      <alignment horizontal="center" vertical="center"/>
    </xf>
    <xf numFmtId="0" fontId="212" fillId="7" borderId="0" xfId="59" applyFont="1" applyFill="1" applyAlignment="1">
      <alignment horizontal="right" vertical="center"/>
    </xf>
    <xf numFmtId="0" fontId="44" fillId="7" borderId="0" xfId="59" applyFont="1" applyFill="1" applyAlignment="1">
      <alignment horizontal="right" vertical="center"/>
    </xf>
    <xf numFmtId="0" fontId="212" fillId="67" borderId="0" xfId="59" applyFont="1" applyFill="1" applyAlignment="1">
      <alignment horizontal="left" vertical="center"/>
    </xf>
    <xf numFmtId="0" fontId="44" fillId="67" borderId="0" xfId="59" applyFont="1" applyFill="1" applyAlignment="1">
      <alignment horizontal="left" vertical="center"/>
    </xf>
    <xf numFmtId="0" fontId="212" fillId="67" borderId="0" xfId="59" applyFont="1" applyFill="1" applyAlignment="1">
      <alignment horizontal="left" vertical="center" wrapText="1"/>
    </xf>
    <xf numFmtId="0" fontId="43" fillId="7" borderId="114" xfId="0" applyFont="1" applyFill="1" applyBorder="1" applyAlignment="1">
      <alignment horizontal="center" vertical="center"/>
    </xf>
    <xf numFmtId="0" fontId="43" fillId="7" borderId="46" xfId="0" applyFont="1" applyFill="1" applyBorder="1" applyAlignment="1">
      <alignment horizontal="center" vertical="center"/>
    </xf>
    <xf numFmtId="0" fontId="43" fillId="7" borderId="203" xfId="0" applyFont="1" applyFill="1" applyBorder="1" applyAlignment="1">
      <alignment horizontal="center" vertical="center"/>
    </xf>
    <xf numFmtId="0" fontId="212" fillId="67" borderId="243" xfId="59" applyFont="1" applyFill="1" applyBorder="1" applyAlignment="1">
      <alignment horizontal="left" vertical="center"/>
    </xf>
    <xf numFmtId="0" fontId="44" fillId="67" borderId="243" xfId="59" applyFont="1" applyFill="1" applyBorder="1" applyAlignment="1">
      <alignment horizontal="left" vertical="center"/>
    </xf>
    <xf numFmtId="0" fontId="43" fillId="7" borderId="115" xfId="59" applyFont="1" applyFill="1" applyBorder="1" applyAlignment="1">
      <alignment horizontal="center"/>
    </xf>
    <xf numFmtId="0" fontId="43" fillId="7" borderId="257" xfId="59" applyFont="1" applyFill="1" applyBorder="1" applyAlignment="1">
      <alignment horizontal="center"/>
    </xf>
    <xf numFmtId="0" fontId="43" fillId="7" borderId="204" xfId="59" applyFont="1" applyFill="1" applyBorder="1" applyAlignment="1">
      <alignment horizontal="center"/>
    </xf>
    <xf numFmtId="0" fontId="43" fillId="7" borderId="0" xfId="59" applyFont="1" applyFill="1" applyAlignment="1">
      <alignment horizontal="left" wrapText="1"/>
    </xf>
    <xf numFmtId="0" fontId="43" fillId="7" borderId="0" xfId="59" applyFont="1" applyFill="1" applyAlignment="1">
      <alignment horizontal="left"/>
    </xf>
    <xf numFmtId="0" fontId="178" fillId="65" borderId="256" xfId="0" applyFont="1" applyFill="1" applyBorder="1" applyAlignment="1">
      <alignment horizontal="center" vertical="top" wrapText="1"/>
    </xf>
    <xf numFmtId="0" fontId="178" fillId="65" borderId="249" xfId="0" applyFont="1" applyFill="1" applyBorder="1" applyAlignment="1">
      <alignment horizontal="center" vertical="top" wrapText="1"/>
    </xf>
    <xf numFmtId="0" fontId="164" fillId="65" borderId="247" xfId="0" applyFont="1" applyFill="1" applyBorder="1" applyAlignment="1">
      <alignment horizontal="center" vertical="center" wrapText="1"/>
    </xf>
    <xf numFmtId="0" fontId="164" fillId="65" borderId="245" xfId="0" applyFont="1" applyFill="1" applyBorder="1" applyAlignment="1">
      <alignment horizontal="center" vertical="center" wrapText="1"/>
    </xf>
    <xf numFmtId="0" fontId="164" fillId="65" borderId="249" xfId="0" applyFont="1" applyFill="1" applyBorder="1" applyAlignment="1">
      <alignment horizontal="center" vertical="center" wrapText="1"/>
    </xf>
    <xf numFmtId="0" fontId="164" fillId="65" borderId="248" xfId="0" applyFont="1" applyFill="1" applyBorder="1" applyAlignment="1">
      <alignment horizontal="center" vertical="center" wrapText="1"/>
    </xf>
    <xf numFmtId="0" fontId="178" fillId="65" borderId="247" xfId="0" applyFont="1" applyFill="1" applyBorder="1" applyAlignment="1">
      <alignment horizontal="center" wrapText="1"/>
    </xf>
    <xf numFmtId="0" fontId="178" fillId="65" borderId="0" xfId="0" applyFont="1" applyFill="1" applyAlignment="1">
      <alignment horizontal="center" wrapText="1"/>
    </xf>
    <xf numFmtId="0" fontId="164" fillId="69" borderId="256" xfId="0" applyFont="1" applyFill="1" applyBorder="1" applyAlignment="1">
      <alignment horizontal="center" vertical="center" wrapText="1"/>
    </xf>
    <xf numFmtId="0" fontId="238" fillId="72" borderId="254" xfId="718" applyFont="1" applyFill="1" applyBorder="1" applyAlignment="1">
      <alignment horizontal="center" vertical="center"/>
    </xf>
    <xf numFmtId="0" fontId="240" fillId="72" borderId="254" xfId="718" applyFont="1" applyFill="1" applyBorder="1" applyAlignment="1">
      <alignment horizontal="center" vertical="center"/>
    </xf>
    <xf numFmtId="0" fontId="163" fillId="7" borderId="243" xfId="0" applyFont="1" applyFill="1" applyBorder="1" applyAlignment="1">
      <alignment horizontal="center" vertical="center"/>
    </xf>
    <xf numFmtId="0" fontId="163" fillId="7" borderId="0" xfId="0" applyFont="1" applyFill="1" applyAlignment="1">
      <alignment horizontal="center" vertical="center"/>
    </xf>
    <xf numFmtId="0" fontId="163" fillId="7" borderId="15" xfId="0" applyFont="1" applyFill="1" applyBorder="1" applyAlignment="1">
      <alignment horizontal="center" vertical="center"/>
    </xf>
    <xf numFmtId="0" fontId="163" fillId="7" borderId="205" xfId="0" applyFont="1" applyFill="1" applyBorder="1" applyAlignment="1">
      <alignment horizontal="center" vertical="center" wrapText="1"/>
    </xf>
    <xf numFmtId="0" fontId="163" fillId="7" borderId="183" xfId="0" applyFont="1" applyFill="1" applyBorder="1" applyAlignment="1">
      <alignment horizontal="center" vertical="center" wrapText="1"/>
    </xf>
    <xf numFmtId="0" fontId="163" fillId="7" borderId="202" xfId="0" applyFont="1" applyFill="1" applyBorder="1" applyAlignment="1">
      <alignment horizontal="center" vertical="center" wrapText="1"/>
    </xf>
    <xf numFmtId="0" fontId="163" fillId="7" borderId="141" xfId="0" applyFont="1" applyFill="1" applyBorder="1" applyAlignment="1">
      <alignment horizontal="center" vertical="center" wrapText="1"/>
    </xf>
    <xf numFmtId="0" fontId="43" fillId="7" borderId="294" xfId="0" applyFont="1" applyFill="1" applyBorder="1" applyAlignment="1">
      <alignment horizontal="center" vertical="center" wrapText="1"/>
    </xf>
    <xf numFmtId="0" fontId="43" fillId="7" borderId="45" xfId="0" applyFont="1" applyFill="1" applyBorder="1" applyAlignment="1">
      <alignment horizontal="center" vertical="center" wrapText="1"/>
    </xf>
    <xf numFmtId="0" fontId="43" fillId="7" borderId="123" xfId="0" applyFont="1" applyFill="1" applyBorder="1" applyAlignment="1">
      <alignment horizontal="center" vertical="center" wrapText="1"/>
    </xf>
    <xf numFmtId="0" fontId="43" fillId="7" borderId="300" xfId="0" applyFont="1" applyFill="1" applyBorder="1" applyAlignment="1">
      <alignment horizontal="center" vertical="center" wrapText="1"/>
    </xf>
    <xf numFmtId="0" fontId="43" fillId="7" borderId="158" xfId="0" applyFont="1" applyFill="1" applyBorder="1" applyAlignment="1">
      <alignment horizontal="center" vertical="center" wrapText="1"/>
    </xf>
    <xf numFmtId="0" fontId="43" fillId="7" borderId="183" xfId="0" applyFont="1" applyFill="1" applyBorder="1" applyAlignment="1">
      <alignment horizontal="center" vertical="center" wrapText="1"/>
    </xf>
    <xf numFmtId="0" fontId="43" fillId="7" borderId="292" xfId="0" applyFont="1" applyFill="1" applyBorder="1" applyAlignment="1">
      <alignment horizontal="center" vertical="center" wrapText="1"/>
    </xf>
    <xf numFmtId="0" fontId="43" fillId="7" borderId="7" xfId="0" applyFont="1" applyFill="1" applyBorder="1" applyAlignment="1">
      <alignment horizontal="center" vertical="center" wrapText="1"/>
    </xf>
    <xf numFmtId="0" fontId="43" fillId="7" borderId="57" xfId="0" applyFont="1" applyFill="1" applyBorder="1" applyAlignment="1">
      <alignment horizontal="center" vertical="center" wrapText="1"/>
    </xf>
    <xf numFmtId="0" fontId="43" fillId="7" borderId="202" xfId="0" applyFont="1" applyFill="1" applyBorder="1" applyAlignment="1">
      <alignment horizontal="center" vertical="center" wrapText="1"/>
    </xf>
    <xf numFmtId="0" fontId="43" fillId="7" borderId="109" xfId="0" applyFont="1" applyFill="1" applyBorder="1" applyAlignment="1">
      <alignment horizontal="center" vertical="center" wrapText="1"/>
    </xf>
    <xf numFmtId="0" fontId="43" fillId="7" borderId="205" xfId="0" applyFont="1" applyFill="1" applyBorder="1" applyAlignment="1">
      <alignment horizontal="center" vertical="center" wrapText="1"/>
    </xf>
    <xf numFmtId="0" fontId="43" fillId="7" borderId="141" xfId="0" applyFont="1" applyFill="1" applyBorder="1" applyAlignment="1">
      <alignment horizontal="center" vertical="center" wrapText="1"/>
    </xf>
    <xf numFmtId="0" fontId="43" fillId="7" borderId="255" xfId="59" applyFont="1" applyFill="1" applyBorder="1" applyAlignment="1">
      <alignment horizontal="center"/>
    </xf>
    <xf numFmtId="0" fontId="43" fillId="7" borderId="8" xfId="59" applyFont="1" applyFill="1" applyBorder="1" applyAlignment="1">
      <alignment horizontal="center"/>
    </xf>
    <xf numFmtId="0" fontId="198" fillId="68" borderId="272" xfId="0" applyFont="1" applyFill="1" applyBorder="1" applyAlignment="1">
      <alignment horizontal="left" vertical="center" wrapText="1"/>
    </xf>
    <xf numFmtId="0" fontId="136" fillId="7" borderId="268" xfId="0" applyFont="1" applyFill="1" applyBorder="1" applyAlignment="1">
      <alignment horizontal="left" vertical="center" wrapText="1"/>
    </xf>
    <xf numFmtId="0" fontId="136" fillId="7" borderId="0" xfId="0" applyFont="1" applyFill="1" applyBorder="1" applyAlignment="1">
      <alignment horizontal="left" vertical="center" wrapText="1"/>
    </xf>
    <xf numFmtId="0" fontId="136" fillId="7" borderId="273" xfId="0" applyFont="1" applyFill="1" applyBorder="1" applyAlignment="1">
      <alignment horizontal="left" vertical="center" wrapText="1"/>
    </xf>
    <xf numFmtId="0" fontId="198" fillId="68" borderId="271" xfId="0" applyFont="1" applyFill="1" applyBorder="1" applyAlignment="1">
      <alignment horizontal="left" vertical="center" wrapText="1"/>
    </xf>
    <xf numFmtId="0" fontId="198" fillId="70" borderId="272" xfId="0" applyFont="1" applyFill="1" applyBorder="1" applyAlignment="1">
      <alignment horizontal="left" vertical="center" wrapText="1"/>
    </xf>
    <xf numFmtId="0" fontId="198" fillId="70" borderId="268" xfId="0" applyFont="1" applyFill="1" applyBorder="1" applyAlignment="1">
      <alignment horizontal="left" vertical="center" wrapText="1"/>
    </xf>
    <xf numFmtId="0" fontId="136" fillId="7" borderId="272" xfId="0" applyFont="1" applyFill="1" applyBorder="1" applyAlignment="1">
      <alignment horizontal="left" vertical="center" wrapText="1"/>
    </xf>
    <xf numFmtId="0" fontId="188" fillId="69" borderId="260" xfId="0" applyFont="1" applyFill="1" applyBorder="1" applyAlignment="1">
      <alignment horizontal="center" vertical="center" wrapText="1"/>
    </xf>
    <xf numFmtId="0" fontId="188" fillId="69" borderId="251" xfId="0" applyFont="1" applyFill="1" applyBorder="1" applyAlignment="1">
      <alignment horizontal="center" vertical="center" wrapText="1"/>
    </xf>
    <xf numFmtId="0" fontId="172" fillId="69" borderId="251" xfId="0" applyFont="1" applyFill="1" applyBorder="1" applyAlignment="1">
      <alignment horizontal="center" vertical="center" wrapText="1"/>
    </xf>
    <xf numFmtId="0" fontId="188" fillId="69" borderId="247" xfId="0" applyFont="1" applyFill="1" applyBorder="1" applyAlignment="1">
      <alignment horizontal="center" vertical="center" wrapText="1"/>
    </xf>
    <xf numFmtId="0" fontId="188" fillId="69" borderId="245" xfId="0" applyFont="1" applyFill="1" applyBorder="1" applyAlignment="1">
      <alignment horizontal="center" vertical="center" wrapText="1"/>
    </xf>
    <xf numFmtId="0" fontId="188" fillId="69" borderId="249" xfId="0" applyFont="1" applyFill="1" applyBorder="1" applyAlignment="1">
      <alignment horizontal="center" vertical="center" wrapText="1"/>
    </xf>
    <xf numFmtId="0" fontId="188" fillId="69" borderId="248" xfId="0" applyFont="1" applyFill="1" applyBorder="1" applyAlignment="1">
      <alignment horizontal="center" vertical="center" wrapText="1"/>
    </xf>
    <xf numFmtId="0" fontId="188" fillId="69" borderId="251" xfId="0" applyFont="1" applyFill="1" applyBorder="1" applyAlignment="1">
      <alignment horizontal="center" vertical="center"/>
    </xf>
    <xf numFmtId="0" fontId="198" fillId="68" borderId="273" xfId="0" applyFont="1" applyFill="1" applyBorder="1" applyAlignment="1">
      <alignment horizontal="left" vertical="center" wrapText="1"/>
    </xf>
    <xf numFmtId="0" fontId="44" fillId="66" borderId="272" xfId="0" applyFont="1" applyFill="1" applyBorder="1" applyAlignment="1">
      <alignment horizontal="left" vertical="center" wrapText="1"/>
    </xf>
    <xf numFmtId="0" fontId="44" fillId="67" borderId="272" xfId="0" applyFont="1" applyFill="1" applyBorder="1" applyAlignment="1">
      <alignment horizontal="left" vertical="center" wrapText="1"/>
    </xf>
    <xf numFmtId="0" fontId="165" fillId="65" borderId="268" xfId="0" applyFont="1" applyFill="1" applyBorder="1" applyAlignment="1">
      <alignment horizontal="center" vertical="center" wrapText="1"/>
    </xf>
    <xf numFmtId="0" fontId="163" fillId="7" borderId="7" xfId="0" applyFont="1" applyFill="1" applyBorder="1" applyAlignment="1">
      <alignment horizontal="left" vertical="center"/>
    </xf>
    <xf numFmtId="0" fontId="163" fillId="7" borderId="0" xfId="0" applyFont="1" applyFill="1" applyBorder="1" applyAlignment="1">
      <alignment horizontal="left" vertical="center"/>
    </xf>
    <xf numFmtId="0" fontId="188" fillId="65" borderId="268" xfId="0" applyFont="1" applyFill="1" applyBorder="1" applyAlignment="1">
      <alignment horizontal="center" vertical="center" wrapText="1"/>
    </xf>
    <xf numFmtId="0" fontId="189" fillId="65" borderId="268" xfId="0" applyFont="1" applyFill="1" applyBorder="1" applyAlignment="1">
      <alignment horizontal="center" vertical="center" wrapText="1"/>
    </xf>
    <xf numFmtId="0" fontId="170" fillId="66" borderId="272" xfId="0" applyFont="1" applyFill="1" applyBorder="1" applyAlignment="1">
      <alignment horizontal="left" vertical="center" wrapText="1"/>
    </xf>
    <xf numFmtId="0" fontId="201" fillId="7" borderId="292" xfId="0" applyFont="1" applyFill="1" applyBorder="1" applyAlignment="1">
      <alignment horizontal="left" vertical="center" wrapText="1"/>
    </xf>
    <xf numFmtId="0" fontId="201" fillId="7" borderId="293" xfId="0" applyFont="1" applyFill="1" applyBorder="1" applyAlignment="1">
      <alignment horizontal="left" vertical="center" wrapText="1"/>
    </xf>
    <xf numFmtId="0" fontId="201" fillId="7" borderId="294" xfId="0" applyFont="1" applyFill="1" applyBorder="1" applyAlignment="1">
      <alignment horizontal="left" vertical="center" wrapText="1"/>
    </xf>
    <xf numFmtId="0" fontId="206" fillId="65" borderId="268" xfId="0" applyFont="1" applyFill="1" applyBorder="1" applyAlignment="1">
      <alignment horizontal="center" vertical="center" wrapText="1"/>
    </xf>
    <xf numFmtId="0" fontId="44" fillId="7" borderId="0" xfId="0" applyFont="1" applyFill="1" applyBorder="1" applyAlignment="1">
      <alignment horizontal="left" vertical="center" wrapText="1"/>
    </xf>
    <xf numFmtId="0" fontId="212" fillId="70" borderId="15" xfId="0" applyFont="1" applyFill="1" applyBorder="1" applyAlignment="1">
      <alignment horizontal="left" vertical="center" wrapText="1"/>
    </xf>
    <xf numFmtId="0" fontId="44" fillId="70" borderId="15" xfId="0" applyFont="1" applyFill="1" applyBorder="1" applyAlignment="1">
      <alignment horizontal="left" vertical="center" wrapText="1"/>
    </xf>
    <xf numFmtId="0" fontId="43" fillId="7" borderId="53" xfId="0" applyFont="1" applyFill="1" applyBorder="1" applyAlignment="1">
      <alignment horizontal="center" vertical="center" wrapText="1"/>
    </xf>
    <xf numFmtId="0" fontId="43" fillId="7" borderId="55" xfId="0" applyFont="1" applyFill="1" applyBorder="1" applyAlignment="1">
      <alignment horizontal="center" vertical="center" wrapText="1"/>
    </xf>
    <xf numFmtId="0" fontId="43" fillId="7" borderId="160" xfId="0" applyFont="1" applyFill="1" applyBorder="1" applyAlignment="1">
      <alignment horizontal="center" vertical="center" wrapText="1"/>
    </xf>
    <xf numFmtId="0" fontId="178" fillId="65" borderId="246" xfId="0" applyFont="1" applyFill="1" applyBorder="1" applyAlignment="1">
      <alignment horizontal="center" wrapText="1"/>
    </xf>
    <xf numFmtId="0" fontId="178" fillId="65" borderId="267" xfId="0" applyFont="1" applyFill="1" applyBorder="1" applyAlignment="1">
      <alignment horizontal="center" wrapText="1"/>
    </xf>
    <xf numFmtId="0" fontId="165" fillId="65" borderId="246" xfId="0" applyFont="1" applyFill="1" applyBorder="1" applyAlignment="1">
      <alignment horizontal="center" vertical="top" wrapText="1"/>
    </xf>
    <xf numFmtId="0" fontId="165" fillId="65" borderId="267" xfId="0" applyFont="1" applyFill="1" applyBorder="1" applyAlignment="1">
      <alignment horizontal="center" vertical="top" wrapText="1"/>
    </xf>
    <xf numFmtId="198" fontId="44" fillId="7" borderId="15" xfId="26" applyNumberFormat="1" applyFont="1" applyFill="1" applyBorder="1" applyAlignment="1">
      <alignment horizontal="right" vertical="center"/>
    </xf>
    <xf numFmtId="197" fontId="44" fillId="7" borderId="15" xfId="26" applyNumberFormat="1" applyFont="1" applyFill="1" applyBorder="1" applyAlignment="1">
      <alignment horizontal="right" vertical="center"/>
    </xf>
    <xf numFmtId="196" fontId="164" fillId="69" borderId="246" xfId="0" applyNumberFormat="1" applyFont="1" applyFill="1" applyBorder="1" applyAlignment="1">
      <alignment horizontal="center" vertical="center"/>
    </xf>
    <xf numFmtId="196" fontId="164" fillId="65" borderId="245" xfId="0" applyNumberFormat="1" applyFont="1" applyFill="1" applyBorder="1" applyAlignment="1">
      <alignment horizontal="center" vertical="center" wrapText="1"/>
    </xf>
    <xf numFmtId="0" fontId="164" fillId="65" borderId="256" xfId="0" applyFont="1" applyFill="1" applyBorder="1" applyAlignment="1">
      <alignment horizontal="center" vertical="center" wrapText="1"/>
    </xf>
    <xf numFmtId="196" fontId="164" fillId="69" borderId="246" xfId="0" applyNumberFormat="1" applyFont="1" applyFill="1" applyBorder="1" applyAlignment="1">
      <alignment horizontal="center" vertical="center" wrapText="1"/>
    </xf>
    <xf numFmtId="0" fontId="44" fillId="66" borderId="0" xfId="59" applyFont="1" applyFill="1" applyAlignment="1">
      <alignment horizontal="right" vertical="center"/>
    </xf>
    <xf numFmtId="0" fontId="44" fillId="7" borderId="15" xfId="0" applyFont="1" applyFill="1" applyBorder="1" applyAlignment="1">
      <alignment horizontal="right" vertical="center" wrapText="1"/>
    </xf>
    <xf numFmtId="0" fontId="43" fillId="7" borderId="40" xfId="0" applyFont="1" applyFill="1" applyBorder="1" applyAlignment="1">
      <alignment horizontal="left" wrapText="1"/>
    </xf>
    <xf numFmtId="0" fontId="43" fillId="7" borderId="40" xfId="0" applyFont="1" applyFill="1" applyBorder="1" applyAlignment="1">
      <alignment horizontal="left"/>
    </xf>
    <xf numFmtId="184" fontId="44" fillId="66" borderId="0" xfId="59" applyNumberFormat="1" applyFont="1" applyFill="1" applyAlignment="1">
      <alignment horizontal="right" vertical="center"/>
    </xf>
    <xf numFmtId="196" fontId="43" fillId="7" borderId="181" xfId="26" applyNumberFormat="1" applyFont="1" applyFill="1" applyBorder="1" applyAlignment="1">
      <alignment horizontal="center" vertical="center"/>
    </xf>
    <xf numFmtId="196" fontId="43" fillId="7" borderId="114" xfId="26" applyNumberFormat="1" applyFont="1" applyFill="1" applyBorder="1" applyAlignment="1">
      <alignment horizontal="center" vertical="center"/>
    </xf>
    <xf numFmtId="196" fontId="43" fillId="7" borderId="203" xfId="26" applyNumberFormat="1" applyFont="1" applyFill="1" applyBorder="1" applyAlignment="1">
      <alignment horizontal="center" vertical="center"/>
    </xf>
    <xf numFmtId="0" fontId="165" fillId="65" borderId="256" xfId="0" applyFont="1" applyFill="1" applyBorder="1" applyAlignment="1">
      <alignment horizontal="center" vertical="top" wrapText="1"/>
    </xf>
    <xf numFmtId="0" fontId="165" fillId="65" borderId="266" xfId="0" applyFont="1" applyFill="1" applyBorder="1" applyAlignment="1">
      <alignment horizontal="center" vertical="top" wrapText="1"/>
    </xf>
    <xf numFmtId="196" fontId="43" fillId="7" borderId="186" xfId="26" applyNumberFormat="1" applyFont="1" applyFill="1" applyBorder="1" applyAlignment="1">
      <alignment horizontal="center" vertical="center"/>
    </xf>
    <xf numFmtId="0" fontId="43" fillId="7" borderId="53" xfId="0" applyFont="1" applyFill="1" applyBorder="1" applyAlignment="1">
      <alignment horizontal="center"/>
    </xf>
    <xf numFmtId="0" fontId="43" fillId="7" borderId="55" xfId="0" applyFont="1" applyFill="1" applyBorder="1" applyAlignment="1">
      <alignment horizontal="center"/>
    </xf>
    <xf numFmtId="0" fontId="43" fillId="7" borderId="154" xfId="0" applyFont="1" applyFill="1" applyBorder="1" applyAlignment="1">
      <alignment horizontal="center"/>
    </xf>
    <xf numFmtId="0" fontId="43" fillId="7" borderId="199" xfId="0" applyFont="1" applyFill="1" applyBorder="1" applyAlignment="1">
      <alignment horizontal="center"/>
    </xf>
    <xf numFmtId="0" fontId="44" fillId="66" borderId="0" xfId="0" applyFont="1" applyFill="1" applyBorder="1" applyAlignment="1">
      <alignment horizontal="left" vertical="center" wrapText="1"/>
    </xf>
    <xf numFmtId="0" fontId="170" fillId="7" borderId="15" xfId="0" applyFont="1" applyFill="1" applyBorder="1" applyAlignment="1">
      <alignment vertical="center" wrapText="1"/>
    </xf>
    <xf numFmtId="0" fontId="170" fillId="7" borderId="293" xfId="0" applyFont="1" applyFill="1" applyBorder="1" applyAlignment="1">
      <alignment vertical="center" wrapText="1"/>
    </xf>
    <xf numFmtId="0" fontId="44" fillId="7" borderId="0" xfId="59" applyFont="1" applyFill="1" applyAlignment="1">
      <alignment horizontal="center" vertical="center" wrapText="1"/>
    </xf>
    <xf numFmtId="0" fontId="44" fillId="7" borderId="15" xfId="59" applyFont="1" applyFill="1" applyBorder="1" applyAlignment="1">
      <alignment horizontal="center" vertical="center" wrapText="1"/>
    </xf>
    <xf numFmtId="196" fontId="164" fillId="69" borderId="256" xfId="0" applyNumberFormat="1" applyFont="1" applyFill="1" applyBorder="1" applyAlignment="1">
      <alignment horizontal="center" vertical="center"/>
    </xf>
    <xf numFmtId="0" fontId="212" fillId="66" borderId="243" xfId="0" applyFont="1" applyFill="1" applyBorder="1" applyAlignment="1">
      <alignment horizontal="left" vertical="center" wrapText="1"/>
    </xf>
    <xf numFmtId="0" fontId="44" fillId="66" borderId="243" xfId="0" applyFont="1" applyFill="1" applyBorder="1" applyAlignment="1">
      <alignment horizontal="left" vertical="center" wrapText="1"/>
    </xf>
    <xf numFmtId="0" fontId="212" fillId="7" borderId="258" xfId="59" applyFont="1" applyFill="1" applyBorder="1" applyAlignment="1">
      <alignment wrapText="1"/>
    </xf>
    <xf numFmtId="0" fontId="44" fillId="7" borderId="258" xfId="59" applyFont="1" applyFill="1" applyBorder="1" applyAlignment="1">
      <alignment wrapText="1"/>
    </xf>
    <xf numFmtId="0" fontId="178" fillId="69" borderId="259" xfId="59" applyFont="1" applyFill="1" applyBorder="1" applyAlignment="1">
      <alignment horizontal="center" vertical="center" wrapText="1"/>
    </xf>
    <xf numFmtId="0" fontId="178" fillId="69" borderId="260" xfId="0" applyFont="1" applyFill="1" applyBorder="1" applyAlignment="1">
      <alignment vertical="center"/>
    </xf>
    <xf numFmtId="0" fontId="210" fillId="69" borderId="260" xfId="59" applyFont="1" applyFill="1" applyBorder="1" applyAlignment="1">
      <alignment horizontal="center" vertical="center" wrapText="1"/>
    </xf>
    <xf numFmtId="0" fontId="178" fillId="69" borderId="260" xfId="59" applyFont="1" applyFill="1" applyBorder="1" applyAlignment="1">
      <alignment horizontal="center" vertical="center" wrapText="1"/>
    </xf>
    <xf numFmtId="0" fontId="178" fillId="69" borderId="261" xfId="59" applyFont="1" applyFill="1" applyBorder="1" applyAlignment="1">
      <alignment horizontal="center" vertical="center" wrapText="1"/>
    </xf>
    <xf numFmtId="0" fontId="170" fillId="7" borderId="15" xfId="0" applyFont="1" applyFill="1" applyBorder="1" applyAlignment="1">
      <alignment horizontal="center" vertical="center"/>
    </xf>
    <xf numFmtId="0" fontId="171" fillId="7" borderId="0" xfId="0" applyFont="1" applyFill="1" applyAlignment="1">
      <alignment vertical="center" wrapText="1"/>
    </xf>
    <xf numFmtId="0" fontId="170" fillId="7" borderId="0" xfId="0" applyFont="1" applyFill="1" applyAlignment="1">
      <alignment vertical="center" wrapText="1"/>
    </xf>
    <xf numFmtId="0" fontId="170" fillId="7" borderId="0" xfId="0" applyFont="1" applyFill="1" applyBorder="1" applyAlignment="1">
      <alignment vertical="center" wrapText="1"/>
    </xf>
    <xf numFmtId="38" fontId="195" fillId="7" borderId="22" xfId="26" applyFont="1" applyFill="1" applyBorder="1" applyAlignment="1">
      <alignment horizontal="center" vertical="center" wrapText="1"/>
    </xf>
    <xf numFmtId="38" fontId="195" fillId="7" borderId="8" xfId="26" applyFont="1" applyFill="1" applyBorder="1" applyAlignment="1">
      <alignment horizontal="center" vertical="center" wrapText="1"/>
    </xf>
    <xf numFmtId="38" fontId="195" fillId="7" borderId="6" xfId="26" applyFont="1" applyFill="1" applyBorder="1" applyAlignment="1">
      <alignment horizontal="center" vertical="center" wrapText="1"/>
    </xf>
    <xf numFmtId="38" fontId="154" fillId="7" borderId="22" xfId="26" applyFont="1" applyFill="1" applyBorder="1" applyAlignment="1">
      <alignment horizontal="center" vertical="center" wrapText="1"/>
    </xf>
    <xf numFmtId="38" fontId="44" fillId="7" borderId="0" xfId="26" applyFont="1" applyFill="1" applyBorder="1" applyAlignment="1">
      <alignment horizontal="left" vertical="center" wrapText="1" shrinkToFit="1"/>
    </xf>
    <xf numFmtId="38" fontId="44" fillId="7" borderId="0" xfId="26" applyFont="1" applyFill="1" applyBorder="1" applyAlignment="1">
      <alignment horizontal="left" vertical="center" shrinkToFit="1"/>
    </xf>
    <xf numFmtId="38" fontId="44" fillId="7" borderId="15" xfId="26" applyFont="1" applyFill="1" applyBorder="1" applyAlignment="1">
      <alignment horizontal="left" vertical="center" shrinkToFit="1"/>
    </xf>
    <xf numFmtId="38" fontId="44" fillId="7" borderId="243" xfId="26" applyFont="1" applyFill="1" applyBorder="1" applyAlignment="1">
      <alignment horizontal="left" vertical="center"/>
    </xf>
    <xf numFmtId="38" fontId="195" fillId="7" borderId="22" xfId="26" applyFont="1" applyFill="1" applyBorder="1" applyAlignment="1">
      <alignment horizontal="center" vertical="center" shrinkToFit="1"/>
    </xf>
    <xf numFmtId="38" fontId="195" fillId="7" borderId="8" xfId="26" applyFont="1" applyFill="1" applyBorder="1" applyAlignment="1">
      <alignment horizontal="center" vertical="center" shrinkToFit="1"/>
    </xf>
    <xf numFmtId="38" fontId="195" fillId="7" borderId="6" xfId="26" applyFont="1" applyFill="1" applyBorder="1" applyAlignment="1">
      <alignment horizontal="center" vertical="center" shrinkToFit="1"/>
    </xf>
    <xf numFmtId="38" fontId="44" fillId="7" borderId="0" xfId="26" applyFont="1" applyFill="1" applyBorder="1" applyAlignment="1">
      <alignment horizontal="left" vertical="center"/>
    </xf>
    <xf numFmtId="38" fontId="44" fillId="66" borderId="15" xfId="26" applyFont="1" applyFill="1" applyBorder="1" applyAlignment="1">
      <alignment horizontal="left" vertical="center"/>
    </xf>
    <xf numFmtId="0" fontId="44" fillId="66" borderId="15" xfId="0" applyFont="1" applyFill="1" applyBorder="1" applyAlignment="1">
      <alignment horizontal="left" vertical="center"/>
    </xf>
    <xf numFmtId="38" fontId="136" fillId="7" borderId="243" xfId="26" applyFont="1" applyFill="1" applyBorder="1" applyAlignment="1">
      <alignment horizontal="left" vertical="center" wrapText="1" shrinkToFit="1"/>
    </xf>
    <xf numFmtId="38" fontId="136" fillId="7" borderId="0" xfId="26" applyFont="1" applyFill="1" applyBorder="1" applyAlignment="1">
      <alignment horizontal="left" vertical="center" shrinkToFit="1"/>
    </xf>
    <xf numFmtId="38" fontId="136" fillId="7" borderId="15" xfId="26" applyFont="1" applyFill="1" applyBorder="1" applyAlignment="1">
      <alignment horizontal="left" vertical="center" shrinkToFit="1"/>
    </xf>
    <xf numFmtId="38" fontId="195" fillId="0" borderId="22" xfId="26" applyFont="1" applyFill="1" applyBorder="1" applyAlignment="1">
      <alignment horizontal="center" vertical="center" wrapText="1"/>
    </xf>
    <xf numFmtId="38" fontId="195" fillId="0" borderId="8" xfId="26" applyFont="1" applyFill="1" applyBorder="1" applyAlignment="1">
      <alignment horizontal="center" vertical="center" wrapText="1"/>
    </xf>
    <xf numFmtId="38" fontId="195" fillId="0" borderId="6" xfId="26" applyFont="1" applyFill="1" applyBorder="1" applyAlignment="1">
      <alignment horizontal="center" vertical="center" wrapText="1"/>
    </xf>
    <xf numFmtId="38" fontId="44" fillId="7" borderId="243" xfId="26" applyFont="1" applyFill="1" applyBorder="1" applyAlignment="1">
      <alignment horizontal="left" vertical="center" wrapText="1" shrinkToFit="1"/>
    </xf>
    <xf numFmtId="38" fontId="44" fillId="7" borderId="243" xfId="26" applyFont="1" applyFill="1" applyBorder="1" applyAlignment="1">
      <alignment horizontal="left" vertical="center" wrapText="1"/>
    </xf>
    <xf numFmtId="38" fontId="44" fillId="7" borderId="0" xfId="26" applyFont="1" applyFill="1" applyBorder="1" applyAlignment="1">
      <alignment horizontal="left" vertical="center" wrapText="1"/>
    </xf>
    <xf numFmtId="38" fontId="44" fillId="7" borderId="15" xfId="26" applyFont="1" applyFill="1" applyBorder="1" applyAlignment="1">
      <alignment horizontal="left" vertical="center" wrapText="1"/>
    </xf>
    <xf numFmtId="38" fontId="136" fillId="7" borderId="243" xfId="26" applyFont="1" applyFill="1" applyBorder="1" applyAlignment="1">
      <alignment horizontal="left" vertical="center" wrapText="1"/>
    </xf>
    <xf numFmtId="38" fontId="136" fillId="7" borderId="0" xfId="26" applyFont="1" applyFill="1" applyBorder="1" applyAlignment="1">
      <alignment horizontal="left" vertical="center" wrapText="1"/>
    </xf>
    <xf numFmtId="38" fontId="136" fillId="7" borderId="15" xfId="26" applyFont="1" applyFill="1" applyBorder="1" applyAlignment="1">
      <alignment horizontal="left" vertical="center" wrapText="1"/>
    </xf>
    <xf numFmtId="38" fontId="154" fillId="7" borderId="255" xfId="26" applyFont="1" applyFill="1" applyBorder="1" applyAlignment="1">
      <alignment horizontal="center" vertical="center" wrapText="1"/>
    </xf>
    <xf numFmtId="49" fontId="195" fillId="7" borderId="53" xfId="26" applyNumberFormat="1" applyFont="1" applyFill="1" applyBorder="1" applyAlignment="1">
      <alignment horizontal="center" vertical="center" wrapText="1"/>
    </xf>
    <xf numFmtId="49" fontId="195" fillId="7" borderId="9" xfId="26" applyNumberFormat="1" applyFont="1" applyFill="1" applyBorder="1" applyAlignment="1">
      <alignment horizontal="center" vertical="center" wrapText="1"/>
    </xf>
    <xf numFmtId="49" fontId="195" fillId="7" borderId="5" xfId="26" applyNumberFormat="1" applyFont="1" applyFill="1" applyBorder="1" applyAlignment="1">
      <alignment horizontal="center" vertical="center" wrapText="1"/>
    </xf>
    <xf numFmtId="49" fontId="195" fillId="7" borderId="200" xfId="26" applyNumberFormat="1" applyFont="1" applyFill="1" applyBorder="1" applyAlignment="1">
      <alignment horizontal="center" vertical="center" wrapText="1"/>
    </xf>
    <xf numFmtId="49" fontId="195" fillId="7" borderId="66" xfId="26" applyNumberFormat="1" applyFont="1" applyFill="1" applyBorder="1" applyAlignment="1">
      <alignment horizontal="center" vertical="center" wrapText="1"/>
    </xf>
    <xf numFmtId="49" fontId="195" fillId="7" borderId="22" xfId="26" applyNumberFormat="1" applyFont="1" applyFill="1" applyBorder="1" applyAlignment="1">
      <alignment horizontal="center" vertical="center" wrapText="1"/>
    </xf>
    <xf numFmtId="49" fontId="195" fillId="7" borderId="6" xfId="26" applyNumberFormat="1" applyFont="1" applyFill="1" applyBorder="1" applyAlignment="1">
      <alignment horizontal="center" vertical="center" wrapText="1"/>
    </xf>
    <xf numFmtId="0" fontId="164" fillId="65" borderId="248" xfId="0" applyFont="1" applyFill="1" applyBorder="1" applyAlignment="1">
      <alignment horizontal="center" vertical="center"/>
    </xf>
    <xf numFmtId="38" fontId="170" fillId="7" borderId="0" xfId="26" applyFont="1" applyFill="1" applyBorder="1" applyAlignment="1">
      <alignment horizontal="center" vertical="center"/>
    </xf>
    <xf numFmtId="38" fontId="170" fillId="7" borderId="15" xfId="26" applyFont="1" applyFill="1" applyBorder="1" applyAlignment="1">
      <alignment horizontal="center" vertical="center"/>
    </xf>
    <xf numFmtId="49" fontId="164" fillId="69" borderId="246" xfId="0" applyNumberFormat="1" applyFont="1" applyFill="1" applyBorder="1" applyAlignment="1">
      <alignment horizontal="center" vertical="center" wrapText="1"/>
    </xf>
    <xf numFmtId="0" fontId="163" fillId="7" borderId="243" xfId="60" applyFont="1" applyFill="1" applyBorder="1" applyAlignment="1">
      <alignment horizontal="left" vertical="center"/>
    </xf>
    <xf numFmtId="0" fontId="163" fillId="7" borderId="0" xfId="60" applyFont="1" applyFill="1" applyAlignment="1">
      <alignment horizontal="left" vertical="center"/>
    </xf>
    <xf numFmtId="0" fontId="163" fillId="0" borderId="0" xfId="0" applyFont="1" applyAlignment="1">
      <alignment horizontal="left" vertical="center"/>
    </xf>
    <xf numFmtId="0" fontId="223" fillId="66" borderId="15" xfId="60" applyFont="1" applyFill="1" applyBorder="1" applyAlignment="1">
      <alignment horizontal="left" vertical="center"/>
    </xf>
    <xf numFmtId="0" fontId="163" fillId="0" borderId="15" xfId="0" applyFont="1" applyBorder="1" applyAlignment="1">
      <alignment horizontal="left" vertical="center"/>
    </xf>
    <xf numFmtId="49" fontId="43" fillId="7" borderId="22" xfId="60" applyNumberFormat="1" applyFont="1" applyFill="1" applyBorder="1" applyAlignment="1">
      <alignment horizontal="center" vertical="center"/>
    </xf>
    <xf numFmtId="0" fontId="43" fillId="7" borderId="186" xfId="60" applyFont="1" applyFill="1" applyBorder="1" applyAlignment="1">
      <alignment horizontal="center" vertical="center"/>
    </xf>
    <xf numFmtId="49" fontId="43" fillId="7" borderId="53" xfId="60" applyNumberFormat="1" applyFont="1" applyFill="1" applyBorder="1" applyAlignment="1">
      <alignment horizontal="center" vertical="center"/>
    </xf>
    <xf numFmtId="0" fontId="43" fillId="7" borderId="154" xfId="60" applyFont="1" applyFill="1" applyBorder="1" applyAlignment="1">
      <alignment horizontal="center" vertical="center"/>
    </xf>
    <xf numFmtId="49" fontId="43" fillId="7" borderId="200" xfId="60" applyNumberFormat="1" applyFont="1" applyFill="1" applyBorder="1" applyAlignment="1">
      <alignment horizontal="center" vertical="center"/>
    </xf>
    <xf numFmtId="0" fontId="43" fillId="7" borderId="197" xfId="60" applyFont="1" applyFill="1" applyBorder="1" applyAlignment="1">
      <alignment horizontal="center" vertical="center"/>
    </xf>
    <xf numFmtId="49" fontId="43" fillId="7" borderId="197" xfId="60" applyNumberFormat="1" applyFont="1" applyFill="1" applyBorder="1" applyAlignment="1">
      <alignment horizontal="center" vertical="center"/>
    </xf>
    <xf numFmtId="49" fontId="43" fillId="7" borderId="160" xfId="60" applyNumberFormat="1" applyFont="1" applyFill="1" applyBorder="1" applyAlignment="1">
      <alignment horizontal="center" vertical="center"/>
    </xf>
    <xf numFmtId="49" fontId="43" fillId="7" borderId="148" xfId="60" applyNumberFormat="1" applyFont="1" applyFill="1" applyBorder="1" applyAlignment="1">
      <alignment horizontal="center" vertical="center"/>
    </xf>
    <xf numFmtId="49" fontId="43" fillId="7" borderId="55" xfId="60" applyNumberFormat="1" applyFont="1" applyFill="1" applyBorder="1" applyAlignment="1">
      <alignment horizontal="center" vertical="center"/>
    </xf>
    <xf numFmtId="49" fontId="43" fillId="7" borderId="199" xfId="60" applyNumberFormat="1" applyFont="1" applyFill="1" applyBorder="1" applyAlignment="1">
      <alignment horizontal="center" vertical="center"/>
    </xf>
    <xf numFmtId="49" fontId="43" fillId="7" borderId="186" xfId="60" applyNumberFormat="1" applyFont="1" applyFill="1" applyBorder="1" applyAlignment="1">
      <alignment horizontal="center" vertical="center"/>
    </xf>
    <xf numFmtId="49" fontId="43" fillId="7" borderId="54" xfId="60" applyNumberFormat="1" applyFont="1" applyFill="1" applyBorder="1" applyAlignment="1">
      <alignment horizontal="center" vertical="center"/>
    </xf>
    <xf numFmtId="49" fontId="43" fillId="7" borderId="198" xfId="60" applyNumberFormat="1" applyFont="1" applyFill="1" applyBorder="1" applyAlignment="1">
      <alignment horizontal="center" vertical="center"/>
    </xf>
    <xf numFmtId="49" fontId="43" fillId="7" borderId="154" xfId="60" applyNumberFormat="1" applyFont="1" applyFill="1" applyBorder="1" applyAlignment="1">
      <alignment horizontal="center" vertical="center"/>
    </xf>
    <xf numFmtId="0" fontId="43" fillId="7" borderId="115" xfId="60" applyFont="1" applyFill="1" applyBorder="1" applyAlignment="1">
      <alignment horizontal="center" vertical="center"/>
    </xf>
    <xf numFmtId="0" fontId="43" fillId="7" borderId="204" xfId="60" applyFont="1" applyFill="1" applyBorder="1" applyAlignment="1">
      <alignment horizontal="center" vertical="center"/>
    </xf>
    <xf numFmtId="0" fontId="170" fillId="7" borderId="0" xfId="60" applyFont="1" applyFill="1" applyAlignment="1">
      <alignment horizontal="center" vertical="center"/>
    </xf>
    <xf numFmtId="0" fontId="170" fillId="7" borderId="15" xfId="60" applyFont="1" applyFill="1" applyBorder="1" applyAlignment="1">
      <alignment horizontal="center" vertical="center"/>
    </xf>
    <xf numFmtId="0" fontId="43" fillId="7" borderId="0" xfId="60" applyFont="1" applyFill="1" applyAlignment="1">
      <alignment horizontal="center" vertical="center"/>
    </xf>
    <xf numFmtId="0" fontId="43" fillId="7" borderId="15" xfId="60" applyFont="1" applyFill="1" applyBorder="1" applyAlignment="1">
      <alignment horizontal="center" vertical="center"/>
    </xf>
    <xf numFmtId="0" fontId="43" fillId="7" borderId="197" xfId="60" applyNumberFormat="1" applyFont="1" applyFill="1" applyBorder="1" applyAlignment="1">
      <alignment horizontal="center" vertical="center"/>
    </xf>
    <xf numFmtId="49" fontId="43" fillId="7" borderId="139" xfId="60" applyNumberFormat="1" applyFont="1" applyFill="1" applyBorder="1" applyAlignment="1">
      <alignment horizontal="center" vertical="center"/>
    </xf>
    <xf numFmtId="0" fontId="43" fillId="7" borderId="181" xfId="60" applyFont="1" applyFill="1" applyBorder="1" applyAlignment="1">
      <alignment horizontal="center" vertical="center"/>
    </xf>
    <xf numFmtId="38" fontId="163" fillId="7" borderId="22" xfId="26" applyFont="1" applyFill="1" applyBorder="1" applyAlignment="1">
      <alignment horizontal="center" vertical="center"/>
    </xf>
    <xf numFmtId="38" fontId="163" fillId="7" borderId="186" xfId="26" applyFont="1" applyFill="1" applyBorder="1" applyAlignment="1">
      <alignment horizontal="center" vertical="center"/>
    </xf>
    <xf numFmtId="0" fontId="43" fillId="7" borderId="0" xfId="61" applyFont="1" applyFill="1" applyAlignment="1">
      <alignment horizontal="center" vertical="center"/>
    </xf>
    <xf numFmtId="0" fontId="43" fillId="7" borderId="15" xfId="61" applyFont="1" applyFill="1" applyBorder="1" applyAlignment="1">
      <alignment horizontal="center" vertical="center"/>
    </xf>
    <xf numFmtId="0" fontId="188" fillId="69" borderId="246" xfId="0" applyFont="1" applyFill="1" applyBorder="1" applyAlignment="1">
      <alignment horizontal="center" vertical="center" wrapText="1"/>
    </xf>
    <xf numFmtId="0" fontId="188" fillId="69" borderId="256" xfId="0" applyFont="1" applyFill="1" applyBorder="1" applyAlignment="1">
      <alignment horizontal="center" vertical="center"/>
    </xf>
    <xf numFmtId="49" fontId="188" fillId="69" borderId="246" xfId="0" applyNumberFormat="1" applyFont="1" applyFill="1" applyBorder="1" applyAlignment="1">
      <alignment horizontal="center" vertical="center" wrapText="1"/>
    </xf>
    <xf numFmtId="0" fontId="188" fillId="65" borderId="245" xfId="0" applyFont="1" applyFill="1" applyBorder="1" applyAlignment="1">
      <alignment horizontal="center" vertical="center" wrapText="1"/>
    </xf>
    <xf numFmtId="0" fontId="188" fillId="65" borderId="248" xfId="0" applyFont="1" applyFill="1" applyBorder="1" applyAlignment="1">
      <alignment horizontal="center" vertical="center"/>
    </xf>
    <xf numFmtId="49" fontId="43" fillId="7" borderId="207" xfId="61" applyNumberFormat="1" applyFont="1" applyFill="1" applyBorder="1" applyAlignment="1">
      <alignment horizontal="center"/>
    </xf>
    <xf numFmtId="49" fontId="43" fillId="7" borderId="208" xfId="61" applyNumberFormat="1" applyFont="1" applyFill="1" applyBorder="1" applyAlignment="1">
      <alignment horizontal="center"/>
    </xf>
    <xf numFmtId="49" fontId="43" fillId="7" borderId="139" xfId="61" applyNumberFormat="1" applyFont="1" applyFill="1" applyBorder="1" applyAlignment="1">
      <alignment horizontal="center"/>
    </xf>
    <xf numFmtId="49" fontId="43" fillId="7" borderId="181" xfId="61" applyNumberFormat="1" applyFont="1" applyFill="1" applyBorder="1" applyAlignment="1">
      <alignment horizontal="center"/>
    </xf>
    <xf numFmtId="49" fontId="43" fillId="7" borderId="22" xfId="61" applyNumberFormat="1" applyFont="1" applyFill="1" applyBorder="1" applyAlignment="1">
      <alignment horizontal="center"/>
    </xf>
    <xf numFmtId="49" fontId="43" fillId="7" borderId="186" xfId="61" applyNumberFormat="1" applyFont="1" applyFill="1" applyBorder="1" applyAlignment="1">
      <alignment horizontal="center"/>
    </xf>
    <xf numFmtId="0" fontId="43" fillId="7" borderId="53" xfId="61" applyFont="1" applyFill="1" applyBorder="1" applyAlignment="1">
      <alignment horizontal="center"/>
    </xf>
    <xf numFmtId="0" fontId="43" fillId="7" borderId="55" xfId="61" applyFont="1" applyFill="1" applyBorder="1" applyAlignment="1">
      <alignment horizontal="center"/>
    </xf>
    <xf numFmtId="0" fontId="43" fillId="7" borderId="154" xfId="61" applyFont="1" applyFill="1" applyBorder="1" applyAlignment="1">
      <alignment horizontal="center"/>
    </xf>
    <xf numFmtId="0" fontId="43" fillId="7" borderId="199" xfId="61" applyFont="1" applyFill="1" applyBorder="1" applyAlignment="1">
      <alignment horizontal="center"/>
    </xf>
    <xf numFmtId="0" fontId="166" fillId="7" borderId="262" xfId="61" applyFont="1" applyFill="1" applyBorder="1" applyAlignment="1">
      <alignment horizontal="left" vertical="center" shrinkToFit="1"/>
    </xf>
    <xf numFmtId="0" fontId="166" fillId="7" borderId="155" xfId="61" applyFont="1" applyFill="1" applyBorder="1" applyAlignment="1">
      <alignment horizontal="left" vertical="center" shrinkToFit="1"/>
    </xf>
    <xf numFmtId="0" fontId="166" fillId="7" borderId="97" xfId="61" applyFont="1" applyFill="1" applyBorder="1" applyAlignment="1">
      <alignment horizontal="left" vertical="center" shrinkToFit="1"/>
    </xf>
    <xf numFmtId="0" fontId="166" fillId="7" borderId="98" xfId="61" applyFont="1" applyFill="1" applyBorder="1" applyAlignment="1">
      <alignment horizontal="left" vertical="center" shrinkToFit="1"/>
    </xf>
    <xf numFmtId="0" fontId="43" fillId="7" borderId="15" xfId="0" applyFont="1" applyFill="1" applyBorder="1" applyAlignment="1">
      <alignment horizontal="center" vertical="center"/>
    </xf>
    <xf numFmtId="0" fontId="163" fillId="7" borderId="243" xfId="59" applyFont="1" applyFill="1" applyBorder="1" applyAlignment="1">
      <alignment horizontal="left" vertical="center" wrapText="1"/>
    </xf>
    <xf numFmtId="0" fontId="163" fillId="7" borderId="0" xfId="59" applyFont="1" applyFill="1" applyAlignment="1">
      <alignment horizontal="left" vertical="center" wrapText="1"/>
    </xf>
    <xf numFmtId="0" fontId="163" fillId="70" borderId="15" xfId="59" applyFont="1" applyFill="1" applyBorder="1" applyAlignment="1">
      <alignment horizontal="left" vertical="center" wrapText="1"/>
    </xf>
    <xf numFmtId="0" fontId="43" fillId="7" borderId="0" xfId="59" applyFont="1" applyFill="1" applyAlignment="1">
      <alignment horizontal="center" vertical="center" wrapText="1"/>
    </xf>
    <xf numFmtId="0" fontId="43" fillId="7" borderId="15" xfId="59" applyFont="1" applyFill="1" applyBorder="1" applyAlignment="1">
      <alignment horizontal="center" vertical="center" wrapText="1"/>
    </xf>
    <xf numFmtId="0" fontId="163" fillId="7" borderId="0" xfId="59" applyFont="1" applyFill="1" applyAlignment="1">
      <alignment vertical="center" wrapText="1"/>
    </xf>
    <xf numFmtId="0" fontId="163" fillId="7" borderId="15" xfId="59" applyFont="1" applyFill="1" applyBorder="1" applyAlignment="1">
      <alignment vertical="center" wrapText="1"/>
    </xf>
    <xf numFmtId="0" fontId="203" fillId="65" borderId="0" xfId="0" applyFont="1" applyFill="1" applyAlignment="1">
      <alignment horizontal="center" wrapText="1"/>
    </xf>
    <xf numFmtId="0" fontId="203" fillId="65" borderId="0" xfId="0" applyFont="1" applyFill="1"/>
    <xf numFmtId="0" fontId="165" fillId="65" borderId="249" xfId="0" applyFont="1" applyFill="1" applyBorder="1" applyAlignment="1">
      <alignment horizontal="center" vertical="top" wrapText="1"/>
    </xf>
    <xf numFmtId="0" fontId="165" fillId="65" borderId="15" xfId="0" applyFont="1" applyFill="1" applyBorder="1" applyAlignment="1">
      <alignment vertical="top"/>
    </xf>
    <xf numFmtId="0" fontId="43" fillId="7" borderId="211" xfId="59" applyFont="1" applyFill="1" applyBorder="1" applyAlignment="1">
      <alignment horizontal="center"/>
    </xf>
    <xf numFmtId="0" fontId="43" fillId="7" borderId="3" xfId="59" applyFont="1" applyFill="1" applyBorder="1" applyAlignment="1">
      <alignment horizontal="center" wrapText="1"/>
    </xf>
    <xf numFmtId="0" fontId="43" fillId="7" borderId="3" xfId="59" applyFont="1" applyFill="1" applyBorder="1" applyAlignment="1">
      <alignment horizontal="center"/>
    </xf>
    <xf numFmtId="0" fontId="43" fillId="7" borderId="212" xfId="59" applyFont="1" applyFill="1" applyBorder="1" applyAlignment="1">
      <alignment horizontal="center" wrapText="1"/>
    </xf>
    <xf numFmtId="0" fontId="43" fillId="7" borderId="213" xfId="59" applyFont="1" applyFill="1" applyBorder="1" applyAlignment="1">
      <alignment horizontal="center" wrapText="1"/>
    </xf>
    <xf numFmtId="179" fontId="163" fillId="70" borderId="15" xfId="26" applyNumberFormat="1" applyFont="1" applyFill="1" applyBorder="1" applyAlignment="1">
      <alignment horizontal="right" vertical="center"/>
    </xf>
    <xf numFmtId="0" fontId="43" fillId="7" borderId="5" xfId="59" applyFont="1" applyFill="1" applyBorder="1" applyAlignment="1">
      <alignment horizontal="center" vertical="center" wrapText="1"/>
    </xf>
    <xf numFmtId="0" fontId="163" fillId="7" borderId="0" xfId="59" applyFont="1" applyFill="1" applyAlignment="1">
      <alignment horizontal="right" vertical="center"/>
    </xf>
    <xf numFmtId="191" fontId="163" fillId="7" borderId="0" xfId="26" applyNumberFormat="1" applyFont="1" applyFill="1" applyBorder="1" applyAlignment="1">
      <alignment horizontal="right" vertical="center"/>
    </xf>
    <xf numFmtId="191" fontId="163" fillId="70" borderId="15" xfId="26" applyNumberFormat="1" applyFont="1" applyFill="1" applyBorder="1" applyAlignment="1">
      <alignment horizontal="right" vertical="center"/>
    </xf>
    <xf numFmtId="0" fontId="43" fillId="7" borderId="53" xfId="59" applyFont="1" applyFill="1" applyBorder="1" applyAlignment="1">
      <alignment horizontal="center" vertical="center" wrapText="1"/>
    </xf>
    <xf numFmtId="0" fontId="43" fillId="7" borderId="7" xfId="59" applyFont="1" applyFill="1" applyBorder="1" applyAlignment="1">
      <alignment horizontal="center" vertical="center" wrapText="1"/>
    </xf>
    <xf numFmtId="0" fontId="43" fillId="7" borderId="9" xfId="59" applyFont="1" applyFill="1" applyBorder="1" applyAlignment="1">
      <alignment horizontal="center" vertical="center" wrapText="1"/>
    </xf>
    <xf numFmtId="0" fontId="163" fillId="7" borderId="243" xfId="59" applyFont="1" applyFill="1" applyBorder="1" applyAlignment="1">
      <alignment vertical="center" wrapText="1"/>
    </xf>
    <xf numFmtId="191" fontId="163" fillId="7" borderId="243" xfId="26" applyNumberFormat="1" applyFont="1" applyFill="1" applyBorder="1" applyAlignment="1">
      <alignment vertical="center"/>
    </xf>
    <xf numFmtId="191" fontId="163" fillId="7" borderId="243" xfId="26" applyNumberFormat="1" applyFont="1" applyFill="1" applyBorder="1" applyAlignment="1">
      <alignment horizontal="right" vertical="center"/>
    </xf>
    <xf numFmtId="0" fontId="44" fillId="7" borderId="243" xfId="60" applyFont="1" applyFill="1" applyBorder="1" applyAlignment="1">
      <alignment horizontal="left" vertical="center" shrinkToFit="1"/>
    </xf>
    <xf numFmtId="0" fontId="44" fillId="7" borderId="0" xfId="60" applyFont="1" applyFill="1" applyAlignment="1">
      <alignment horizontal="left" vertical="center" shrinkToFit="1"/>
    </xf>
    <xf numFmtId="0" fontId="44" fillId="66" borderId="15" xfId="60" applyFont="1" applyFill="1" applyBorder="1" applyAlignment="1">
      <alignment horizontal="left" vertical="center" shrinkToFit="1"/>
    </xf>
    <xf numFmtId="0" fontId="44" fillId="7" borderId="0" xfId="60" applyFont="1" applyFill="1" applyAlignment="1">
      <alignment vertical="center" wrapText="1"/>
    </xf>
    <xf numFmtId="0" fontId="44" fillId="7" borderId="15" xfId="60" applyFont="1" applyFill="1" applyBorder="1" applyAlignment="1">
      <alignment vertical="center" wrapText="1"/>
    </xf>
    <xf numFmtId="0" fontId="44" fillId="7" borderId="243" xfId="61" applyFont="1" applyFill="1" applyBorder="1" applyAlignment="1">
      <alignment horizontal="left" vertical="center"/>
    </xf>
    <xf numFmtId="0" fontId="44" fillId="7" borderId="0" xfId="61" applyFont="1" applyFill="1" applyAlignment="1">
      <alignment horizontal="left" vertical="center"/>
    </xf>
    <xf numFmtId="0" fontId="44" fillId="66" borderId="15" xfId="61" applyFont="1" applyFill="1" applyBorder="1" applyAlignment="1">
      <alignment horizontal="left" vertical="center"/>
    </xf>
    <xf numFmtId="0" fontId="44" fillId="7" borderId="243" xfId="60" applyFont="1" applyFill="1" applyBorder="1" applyAlignment="1">
      <alignment vertical="center" wrapText="1"/>
    </xf>
    <xf numFmtId="0" fontId="7" fillId="7" borderId="22" xfId="60" applyFill="1" applyBorder="1" applyAlignment="1">
      <alignment horizontal="center" vertical="center"/>
    </xf>
    <xf numFmtId="0" fontId="7" fillId="7" borderId="186" xfId="60" applyFill="1" applyBorder="1" applyAlignment="1">
      <alignment horizontal="center" vertical="center"/>
    </xf>
    <xf numFmtId="49" fontId="20" fillId="7" borderId="200" xfId="60" applyNumberFormat="1" applyFont="1" applyFill="1" applyBorder="1" applyAlignment="1">
      <alignment horizontal="center" vertical="center"/>
    </xf>
    <xf numFmtId="0" fontId="20" fillId="7" borderId="197" xfId="60" applyFont="1" applyFill="1" applyBorder="1" applyAlignment="1">
      <alignment horizontal="center" vertical="center"/>
    </xf>
    <xf numFmtId="49" fontId="20" fillId="7" borderId="22" xfId="60" applyNumberFormat="1" applyFont="1" applyFill="1" applyBorder="1" applyAlignment="1">
      <alignment horizontal="center" vertical="center"/>
    </xf>
    <xf numFmtId="0" fontId="20" fillId="7" borderId="186" xfId="60" applyFont="1" applyFill="1" applyBorder="1" applyAlignment="1">
      <alignment horizontal="center" vertical="center"/>
    </xf>
    <xf numFmtId="49" fontId="20" fillId="7" borderId="139" xfId="60" applyNumberFormat="1" applyFont="1" applyFill="1" applyBorder="1" applyAlignment="1">
      <alignment horizontal="center" vertical="center"/>
    </xf>
    <xf numFmtId="0" fontId="20" fillId="7" borderId="181" xfId="60" applyFont="1" applyFill="1" applyBorder="1" applyAlignment="1">
      <alignment horizontal="center" vertical="center"/>
    </xf>
    <xf numFmtId="0" fontId="43" fillId="7" borderId="255" xfId="0" applyFont="1" applyFill="1" applyBorder="1" applyAlignment="1">
      <alignment wrapText="1"/>
    </xf>
    <xf numFmtId="0" fontId="43" fillId="7" borderId="8" xfId="0" applyFont="1" applyFill="1" applyBorder="1" applyAlignment="1">
      <alignment wrapText="1"/>
    </xf>
    <xf numFmtId="0" fontId="43" fillId="7" borderId="293" xfId="0" applyFont="1" applyFill="1" applyBorder="1" applyAlignment="1">
      <alignment vertical="top" wrapText="1"/>
    </xf>
    <xf numFmtId="0" fontId="43" fillId="7" borderId="0" xfId="0" applyFont="1" applyFill="1" applyBorder="1" applyAlignment="1">
      <alignment vertical="top" wrapText="1"/>
    </xf>
    <xf numFmtId="0" fontId="43" fillId="7" borderId="0" xfId="0" applyFont="1" applyFill="1" applyBorder="1" applyAlignment="1">
      <alignment wrapText="1"/>
    </xf>
    <xf numFmtId="0" fontId="147" fillId="7" borderId="133" xfId="0" applyFont="1" applyFill="1" applyBorder="1" applyAlignment="1">
      <alignment vertical="top" wrapText="1"/>
    </xf>
    <xf numFmtId="0" fontId="147" fillId="7" borderId="8" xfId="0" applyFont="1" applyFill="1" applyBorder="1" applyAlignment="1">
      <alignment vertical="top" wrapText="1"/>
    </xf>
    <xf numFmtId="0" fontId="147" fillId="7" borderId="6" xfId="0" applyFont="1" applyFill="1" applyBorder="1" applyAlignment="1">
      <alignment vertical="top" wrapText="1"/>
    </xf>
    <xf numFmtId="0" fontId="44" fillId="7" borderId="293" xfId="61" applyFont="1" applyFill="1" applyBorder="1" applyAlignment="1">
      <alignment horizontal="left" vertical="center"/>
    </xf>
    <xf numFmtId="0" fontId="212" fillId="7" borderId="294" xfId="0" applyFont="1" applyFill="1" applyBorder="1" applyAlignment="1">
      <alignment vertical="top" wrapText="1"/>
    </xf>
    <xf numFmtId="0" fontId="44" fillId="7" borderId="45" xfId="0" applyFont="1" applyFill="1" applyBorder="1" applyAlignment="1">
      <alignment vertical="top" wrapText="1"/>
    </xf>
    <xf numFmtId="0" fontId="44" fillId="7" borderId="56" xfId="0" applyFont="1" applyFill="1" applyBorder="1" applyAlignment="1">
      <alignment vertical="top" wrapText="1"/>
    </xf>
    <xf numFmtId="0" fontId="170" fillId="7" borderId="293" xfId="60" applyFont="1" applyFill="1" applyBorder="1" applyAlignment="1">
      <alignment horizontal="left" vertical="center" shrinkToFit="1"/>
    </xf>
    <xf numFmtId="0" fontId="43" fillId="7" borderId="255" xfId="0" applyFont="1" applyFill="1" applyBorder="1" applyAlignment="1">
      <alignment vertical="top" wrapText="1"/>
    </xf>
    <xf numFmtId="0" fontId="43" fillId="7" borderId="8" xfId="0" applyFont="1" applyFill="1" applyBorder="1" applyAlignment="1">
      <alignment vertical="top" wrapText="1"/>
    </xf>
    <xf numFmtId="0" fontId="43" fillId="7" borderId="6" xfId="0" applyFont="1" applyFill="1" applyBorder="1" applyAlignment="1">
      <alignment vertical="top" wrapText="1"/>
    </xf>
    <xf numFmtId="0" fontId="170" fillId="7" borderId="0" xfId="60" applyFont="1" applyFill="1" applyAlignment="1">
      <alignment horizontal="left" vertical="center" shrinkToFit="1"/>
    </xf>
    <xf numFmtId="0" fontId="170" fillId="66" borderId="15" xfId="60" applyFont="1" applyFill="1" applyBorder="1" applyAlignment="1">
      <alignment horizontal="left" vertical="center" shrinkToFit="1"/>
    </xf>
    <xf numFmtId="0" fontId="44" fillId="7" borderId="294" xfId="0" applyFont="1" applyFill="1" applyBorder="1" applyAlignment="1">
      <alignment vertical="top" wrapText="1"/>
    </xf>
    <xf numFmtId="0" fontId="43" fillId="7" borderId="255" xfId="60" applyFont="1" applyFill="1" applyBorder="1" applyAlignment="1">
      <alignment horizontal="center" vertical="center"/>
    </xf>
    <xf numFmtId="0" fontId="7" fillId="7" borderId="255" xfId="60" applyFill="1" applyBorder="1" applyAlignment="1">
      <alignment horizontal="center" vertical="center"/>
    </xf>
    <xf numFmtId="0" fontId="136" fillId="7" borderId="293" xfId="0" applyFont="1" applyFill="1" applyBorder="1" applyAlignment="1">
      <alignment vertical="top" wrapText="1"/>
    </xf>
    <xf numFmtId="0" fontId="44" fillId="7" borderId="0" xfId="0" applyFont="1" applyFill="1" applyBorder="1" applyAlignment="1">
      <alignment vertical="top" wrapText="1"/>
    </xf>
    <xf numFmtId="0" fontId="44" fillId="7" borderId="15" xfId="0" applyFont="1" applyFill="1" applyBorder="1" applyAlignment="1">
      <alignment vertical="top" wrapText="1"/>
    </xf>
    <xf numFmtId="0" fontId="44" fillId="7" borderId="293" xfId="60" applyFont="1" applyFill="1" applyBorder="1" applyAlignment="1">
      <alignment horizontal="left" vertical="center" shrinkToFit="1"/>
    </xf>
    <xf numFmtId="0" fontId="212" fillId="7" borderId="293" xfId="0" applyFont="1" applyFill="1" applyBorder="1" applyAlignment="1">
      <alignment vertical="top" wrapText="1"/>
    </xf>
    <xf numFmtId="0" fontId="136" fillId="7" borderId="255" xfId="0" applyFont="1" applyFill="1" applyBorder="1" applyAlignment="1">
      <alignment vertical="top" wrapText="1"/>
    </xf>
    <xf numFmtId="0" fontId="136" fillId="7" borderId="8" xfId="0" applyFont="1" applyFill="1" applyBorder="1" applyAlignment="1">
      <alignment vertical="top" wrapText="1"/>
    </xf>
    <xf numFmtId="0" fontId="136" fillId="7" borderId="6" xfId="0" applyFont="1" applyFill="1" applyBorder="1" applyAlignment="1">
      <alignment vertical="top" wrapText="1"/>
    </xf>
    <xf numFmtId="0" fontId="44" fillId="7" borderId="0" xfId="60" applyFont="1" applyFill="1" applyBorder="1" applyAlignment="1">
      <alignment horizontal="left" vertical="center" shrinkToFit="1"/>
    </xf>
    <xf numFmtId="0" fontId="212" fillId="7" borderId="133" xfId="0" applyFont="1" applyFill="1" applyBorder="1" applyAlignment="1">
      <alignment vertical="top" wrapText="1"/>
    </xf>
    <xf numFmtId="0" fontId="44" fillId="7" borderId="8" xfId="0" applyFont="1" applyFill="1" applyBorder="1" applyAlignment="1">
      <alignment vertical="top" wrapText="1"/>
    </xf>
    <xf numFmtId="0" fontId="44" fillId="7" borderId="6" xfId="0" applyFont="1" applyFill="1" applyBorder="1" applyAlignment="1">
      <alignment vertical="top" wrapText="1"/>
    </xf>
    <xf numFmtId="180" fontId="44" fillId="66" borderId="15" xfId="0" applyNumberFormat="1" applyFont="1" applyFill="1" applyBorder="1" applyAlignment="1">
      <alignment horizontal="left"/>
    </xf>
    <xf numFmtId="180" fontId="44" fillId="7" borderId="243" xfId="0" applyNumberFormat="1" applyFont="1" applyFill="1" applyBorder="1" applyAlignment="1">
      <alignment horizontal="left"/>
    </xf>
    <xf numFmtId="180" fontId="44" fillId="7" borderId="15" xfId="0" applyNumberFormat="1" applyFont="1" applyFill="1" applyBorder="1" applyAlignment="1">
      <alignment horizontal="left"/>
    </xf>
    <xf numFmtId="180" fontId="44" fillId="7" borderId="258" xfId="0" applyNumberFormat="1" applyFont="1" applyFill="1" applyBorder="1" applyAlignment="1">
      <alignment horizontal="left"/>
    </xf>
    <xf numFmtId="180" fontId="44" fillId="7" borderId="0" xfId="0" applyNumberFormat="1" applyFont="1" applyFill="1" applyAlignment="1">
      <alignment horizontal="left"/>
    </xf>
    <xf numFmtId="180" fontId="44" fillId="67" borderId="15" xfId="0" applyNumberFormat="1" applyFont="1" applyFill="1" applyBorder="1" applyAlignment="1">
      <alignment horizontal="left"/>
    </xf>
    <xf numFmtId="180" fontId="9" fillId="7" borderId="22" xfId="0" applyNumberFormat="1" applyFont="1" applyFill="1" applyBorder="1" applyAlignment="1">
      <alignment horizontal="center" vertical="center"/>
    </xf>
    <xf numFmtId="180" fontId="9" fillId="7" borderId="186" xfId="0" applyNumberFormat="1" applyFont="1" applyFill="1" applyBorder="1" applyAlignment="1">
      <alignment horizontal="center" vertical="center"/>
    </xf>
    <xf numFmtId="180" fontId="43" fillId="7" borderId="0" xfId="0" applyNumberFormat="1" applyFont="1" applyFill="1" applyAlignment="1">
      <alignment horizontal="center" vertical="center"/>
    </xf>
    <xf numFmtId="180" fontId="43" fillId="7" borderId="15" xfId="0" applyNumberFormat="1" applyFont="1" applyFill="1" applyBorder="1" applyAlignment="1">
      <alignment horizontal="center" vertical="center"/>
    </xf>
    <xf numFmtId="180" fontId="20" fillId="7" borderId="53" xfId="0" applyNumberFormat="1" applyFont="1" applyFill="1" applyBorder="1" applyAlignment="1">
      <alignment horizontal="center" vertical="center"/>
    </xf>
    <xf numFmtId="180" fontId="20" fillId="7" borderId="54" xfId="0" applyNumberFormat="1" applyFont="1" applyFill="1" applyBorder="1" applyAlignment="1">
      <alignment horizontal="center" vertical="center"/>
    </xf>
    <xf numFmtId="180" fontId="20" fillId="7" borderId="55" xfId="0" applyNumberFormat="1" applyFont="1" applyFill="1" applyBorder="1" applyAlignment="1">
      <alignment horizontal="center" vertical="center"/>
    </xf>
    <xf numFmtId="180" fontId="20" fillId="7" borderId="154" xfId="0" applyNumberFormat="1" applyFont="1" applyFill="1" applyBorder="1" applyAlignment="1">
      <alignment horizontal="center" vertical="center"/>
    </xf>
    <xf numFmtId="180" fontId="20" fillId="7" borderId="198" xfId="0" applyNumberFormat="1" applyFont="1" applyFill="1" applyBorder="1" applyAlignment="1">
      <alignment horizontal="center" vertical="center"/>
    </xf>
    <xf numFmtId="180" fontId="20" fillId="7" borderId="199" xfId="0" applyNumberFormat="1" applyFont="1" applyFill="1" applyBorder="1" applyAlignment="1">
      <alignment horizontal="center" vertical="center"/>
    </xf>
    <xf numFmtId="0" fontId="136" fillId="66" borderId="71" xfId="0" applyFont="1" applyFill="1" applyBorder="1" applyAlignment="1">
      <alignment horizontal="left"/>
    </xf>
    <xf numFmtId="0" fontId="136" fillId="66" borderId="99" xfId="0" applyFont="1" applyFill="1" applyBorder="1" applyAlignment="1">
      <alignment horizontal="left"/>
    </xf>
    <xf numFmtId="0" fontId="136" fillId="67" borderId="264" xfId="0" applyFont="1" applyFill="1" applyBorder="1" applyAlignment="1">
      <alignment horizontal="left"/>
    </xf>
    <xf numFmtId="0" fontId="136" fillId="67" borderId="0" xfId="0" applyFont="1" applyFill="1" applyBorder="1" applyAlignment="1">
      <alignment horizontal="left"/>
    </xf>
    <xf numFmtId="0" fontId="136" fillId="7" borderId="264" xfId="0" applyFont="1" applyFill="1" applyBorder="1" applyAlignment="1">
      <alignment horizontal="left"/>
    </xf>
    <xf numFmtId="0" fontId="136" fillId="0" borderId="0" xfId="0" applyFont="1" applyBorder="1" applyAlignment="1">
      <alignment horizontal="left"/>
    </xf>
    <xf numFmtId="0" fontId="136" fillId="7" borderId="101" xfId="0" applyFont="1" applyFill="1" applyBorder="1" applyAlignment="1">
      <alignment horizontal="left"/>
    </xf>
    <xf numFmtId="0" fontId="136" fillId="0" borderId="102" xfId="0" applyFont="1" applyBorder="1" applyAlignment="1">
      <alignment horizontal="left"/>
    </xf>
    <xf numFmtId="0" fontId="136" fillId="7" borderId="101" xfId="0" applyFont="1" applyFill="1" applyBorder="1" applyAlignment="1">
      <alignment horizontal="left" shrinkToFit="1"/>
    </xf>
    <xf numFmtId="0" fontId="136" fillId="0" borderId="102" xfId="0" applyFont="1" applyBorder="1" applyAlignment="1">
      <alignment horizontal="left" shrinkToFit="1"/>
    </xf>
    <xf numFmtId="0" fontId="136" fillId="66" borderId="71" xfId="0" applyFont="1" applyFill="1" applyBorder="1" applyAlignment="1">
      <alignment horizontal="left" shrinkToFit="1"/>
    </xf>
    <xf numFmtId="0" fontId="136" fillId="66" borderId="99" xfId="0" applyFont="1" applyFill="1" applyBorder="1" applyAlignment="1">
      <alignment horizontal="left" shrinkToFit="1"/>
    </xf>
    <xf numFmtId="0" fontId="137" fillId="7" borderId="243" xfId="0" applyFont="1" applyFill="1" applyBorder="1" applyAlignment="1">
      <alignment horizontal="left"/>
    </xf>
    <xf numFmtId="0" fontId="136" fillId="7" borderId="119" xfId="0" applyFont="1" applyFill="1" applyBorder="1" applyAlignment="1">
      <alignment horizontal="left"/>
    </xf>
    <xf numFmtId="0" fontId="136" fillId="7" borderId="106" xfId="0" applyFont="1" applyFill="1" applyBorder="1" applyAlignment="1">
      <alignment horizontal="left"/>
    </xf>
    <xf numFmtId="0" fontId="136" fillId="7" borderId="97" xfId="0" applyFont="1" applyFill="1" applyBorder="1" applyAlignment="1">
      <alignment horizontal="left" shrinkToFit="1"/>
    </xf>
    <xf numFmtId="0" fontId="136" fillId="0" borderId="98" xfId="0" applyFont="1" applyBorder="1" applyAlignment="1">
      <alignment horizontal="left" shrinkToFit="1"/>
    </xf>
    <xf numFmtId="0" fontId="136" fillId="7" borderId="119" xfId="0" applyFont="1" applyFill="1" applyBorder="1" applyAlignment="1">
      <alignment horizontal="left" shrinkToFit="1"/>
    </xf>
    <xf numFmtId="0" fontId="136" fillId="7" borderId="106" xfId="0" applyFont="1" applyFill="1" applyBorder="1" applyAlignment="1">
      <alignment horizontal="left" shrinkToFit="1"/>
    </xf>
    <xf numFmtId="0" fontId="136" fillId="67" borderId="264" xfId="0" applyFont="1" applyFill="1" applyBorder="1" applyAlignment="1">
      <alignment horizontal="left" shrinkToFit="1"/>
    </xf>
    <xf numFmtId="0" fontId="136" fillId="67" borderId="0" xfId="0" applyFont="1" applyFill="1" applyBorder="1" applyAlignment="1">
      <alignment horizontal="left" shrinkToFit="1"/>
    </xf>
    <xf numFmtId="0" fontId="136" fillId="7" borderId="264" xfId="0" applyFont="1" applyFill="1" applyBorder="1" applyAlignment="1">
      <alignment horizontal="left" shrinkToFit="1"/>
    </xf>
    <xf numFmtId="0" fontId="136" fillId="0" borderId="0" xfId="0" applyFont="1" applyBorder="1" applyAlignment="1">
      <alignment horizontal="left" shrinkToFit="1"/>
    </xf>
    <xf numFmtId="0" fontId="136" fillId="66" borderId="97" xfId="0" applyFont="1" applyFill="1" applyBorder="1" applyAlignment="1">
      <alignment horizontal="left" shrinkToFit="1"/>
    </xf>
    <xf numFmtId="0" fontId="136" fillId="66" borderId="98" xfId="0" applyFont="1" applyFill="1" applyBorder="1" applyAlignment="1">
      <alignment horizontal="left" shrinkToFit="1"/>
    </xf>
    <xf numFmtId="0" fontId="136" fillId="7" borderId="264" xfId="0" applyFont="1" applyFill="1" applyBorder="1" applyAlignment="1">
      <alignment horizontal="left" wrapText="1" shrinkToFit="1"/>
    </xf>
    <xf numFmtId="0" fontId="137" fillId="7" borderId="258" xfId="0" applyFont="1" applyFill="1" applyBorder="1" applyAlignment="1">
      <alignment horizontal="left"/>
    </xf>
    <xf numFmtId="0" fontId="20" fillId="7" borderId="210" xfId="0" applyFont="1" applyFill="1" applyBorder="1" applyAlignment="1">
      <alignment horizontal="center"/>
    </xf>
    <xf numFmtId="0" fontId="20" fillId="7" borderId="214" xfId="0" applyFont="1" applyFill="1" applyBorder="1" applyAlignment="1">
      <alignment horizontal="center"/>
    </xf>
    <xf numFmtId="0" fontId="147" fillId="7" borderId="15" xfId="0" applyFont="1" applyFill="1" applyBorder="1" applyAlignment="1">
      <alignment horizontal="center"/>
    </xf>
    <xf numFmtId="180" fontId="23" fillId="7" borderId="292" xfId="0" applyNumberFormat="1" applyFont="1" applyFill="1" applyBorder="1" applyAlignment="1">
      <alignment horizontal="center" vertical="center"/>
    </xf>
    <xf numFmtId="180" fontId="23" fillId="7" borderId="294" xfId="0" applyNumberFormat="1" applyFont="1" applyFill="1" applyBorder="1" applyAlignment="1">
      <alignment horizontal="center" vertical="center"/>
    </xf>
    <xf numFmtId="180" fontId="23" fillId="7" borderId="7" xfId="0" applyNumberFormat="1" applyFont="1" applyFill="1" applyBorder="1" applyAlignment="1">
      <alignment horizontal="center" vertical="center"/>
    </xf>
    <xf numFmtId="180" fontId="23" fillId="7" borderId="45" xfId="0" applyNumberFormat="1" applyFont="1" applyFill="1" applyBorder="1" applyAlignment="1">
      <alignment horizontal="center" vertical="center"/>
    </xf>
    <xf numFmtId="180" fontId="23" fillId="7" borderId="154" xfId="0" applyNumberFormat="1" applyFont="1" applyFill="1" applyBorder="1" applyAlignment="1">
      <alignment horizontal="center" vertical="center"/>
    </xf>
    <xf numFmtId="180" fontId="23" fillId="7" borderId="199" xfId="0" applyNumberFormat="1" applyFont="1" applyFill="1" applyBorder="1" applyAlignment="1">
      <alignment horizontal="center" vertical="center"/>
    </xf>
    <xf numFmtId="49" fontId="188" fillId="69" borderId="269" xfId="26" applyNumberFormat="1" applyFont="1" applyFill="1" applyBorder="1" applyAlignment="1">
      <alignment horizontal="center" vertical="center"/>
    </xf>
    <xf numFmtId="49" fontId="188" fillId="69" borderId="256" xfId="26" applyNumberFormat="1" applyFont="1" applyFill="1" applyBorder="1" applyAlignment="1">
      <alignment horizontal="center" vertical="center"/>
    </xf>
    <xf numFmtId="49" fontId="188" fillId="65" borderId="269" xfId="26" applyNumberFormat="1" applyFont="1" applyFill="1" applyBorder="1" applyAlignment="1">
      <alignment horizontal="center" vertical="center"/>
    </xf>
    <xf numFmtId="49" fontId="188" fillId="65" borderId="256" xfId="26" applyNumberFormat="1" applyFont="1" applyFill="1" applyBorder="1" applyAlignment="1">
      <alignment horizontal="center" vertical="center"/>
    </xf>
    <xf numFmtId="0" fontId="43" fillId="7" borderId="0" xfId="0" applyFont="1" applyFill="1" applyAlignment="1">
      <alignment vertical="center" shrinkToFit="1"/>
    </xf>
  </cellXfs>
  <cellStyles count="1087">
    <cellStyle name="20% - アクセント 1 2" xfId="66"/>
    <cellStyle name="20% - アクセント 1 2 2" xfId="313"/>
    <cellStyle name="20% - アクセント 1 2 2 2" xfId="360"/>
    <cellStyle name="20% - アクセント 1 2 2 2 2" xfId="504"/>
    <cellStyle name="20% - アクセント 1 2 2 2 2 2" xfId="897"/>
    <cellStyle name="20% - アクセント 1 2 2 2 3" xfId="705"/>
    <cellStyle name="20% - アクセント 1 2 2 2 3 2" xfId="1015"/>
    <cellStyle name="20% - アクセント 1 2 2 2 4" xfId="1073"/>
    <cellStyle name="20% - アクセント 1 2 2 2 5" xfId="763"/>
    <cellStyle name="20% - アクセント 1 2 2 3" xfId="592"/>
    <cellStyle name="20% - アクセント 1 2 2 3 2" xfId="727"/>
    <cellStyle name="20% - アクセント 1 2 2 3 2 2" xfId="1037"/>
    <cellStyle name="20% - アクセント 1 2 2 3 3" xfId="919"/>
    <cellStyle name="20% - アクセント 1 2 2 4" xfId="478"/>
    <cellStyle name="20% - アクセント 1 2 2 4 2" xfId="872"/>
    <cellStyle name="20% - アクセント 1 2 2 5" xfId="687"/>
    <cellStyle name="20% - アクセント 1 2 2 5 2" xfId="997"/>
    <cellStyle name="20% - アクセント 1 2 2 6" xfId="1055"/>
    <cellStyle name="20% - アクセント 1 2 2 7" xfId="745"/>
    <cellStyle name="20% - アクセント 1 2 3" xfId="555"/>
    <cellStyle name="20% - アクセント 1 2 4" xfId="539"/>
    <cellStyle name="20% - アクセント 1 3" xfId="67"/>
    <cellStyle name="20% - アクセント 1 3 2" xfId="226"/>
    <cellStyle name="20% - アクセント 1 3 3" xfId="138"/>
    <cellStyle name="20% - アクセント 1 4" xfId="65"/>
    <cellStyle name="20% - アクセント 1 4 2" xfId="139"/>
    <cellStyle name="20% - アクセント 2 2" xfId="69"/>
    <cellStyle name="20% - アクセント 2 2 2" xfId="317"/>
    <cellStyle name="20% - アクセント 2 2 2 2" xfId="362"/>
    <cellStyle name="20% - アクセント 2 2 2 2 2" xfId="506"/>
    <cellStyle name="20% - アクセント 2 2 2 2 2 2" xfId="899"/>
    <cellStyle name="20% - アクセント 2 2 2 2 3" xfId="707"/>
    <cellStyle name="20% - アクセント 2 2 2 2 3 2" xfId="1017"/>
    <cellStyle name="20% - アクセント 2 2 2 2 4" xfId="1075"/>
    <cellStyle name="20% - アクセント 2 2 2 2 5" xfId="765"/>
    <cellStyle name="20% - アクセント 2 2 2 3" xfId="594"/>
    <cellStyle name="20% - アクセント 2 2 2 3 2" xfId="729"/>
    <cellStyle name="20% - アクセント 2 2 2 3 2 2" xfId="1039"/>
    <cellStyle name="20% - アクセント 2 2 2 3 3" xfId="921"/>
    <cellStyle name="20% - アクセント 2 2 2 4" xfId="481"/>
    <cellStyle name="20% - アクセント 2 2 2 4 2" xfId="875"/>
    <cellStyle name="20% - アクセント 2 2 2 5" xfId="689"/>
    <cellStyle name="20% - アクセント 2 2 2 5 2" xfId="999"/>
    <cellStyle name="20% - アクセント 2 2 2 6" xfId="1057"/>
    <cellStyle name="20% - アクセント 2 2 2 7" xfId="747"/>
    <cellStyle name="20% - アクセント 2 2 3" xfId="556"/>
    <cellStyle name="20% - アクセント 2 2 4" xfId="540"/>
    <cellStyle name="20% - アクセント 2 3" xfId="70"/>
    <cellStyle name="20% - アクセント 2 3 2" xfId="228"/>
    <cellStyle name="20% - アクセント 2 3 3" xfId="140"/>
    <cellStyle name="20% - アクセント 2 4" xfId="68"/>
    <cellStyle name="20% - アクセント 2 4 2" xfId="227"/>
    <cellStyle name="20% - アクセント 2 4 3" xfId="141"/>
    <cellStyle name="20% - アクセント 3 2" xfId="72"/>
    <cellStyle name="20% - アクセント 3 2 2" xfId="321"/>
    <cellStyle name="20% - アクセント 3 2 2 2" xfId="364"/>
    <cellStyle name="20% - アクセント 3 2 2 2 2" xfId="508"/>
    <cellStyle name="20% - アクセント 3 2 2 2 2 2" xfId="901"/>
    <cellStyle name="20% - アクセント 3 2 2 2 3" xfId="709"/>
    <cellStyle name="20% - アクセント 3 2 2 2 3 2" xfId="1019"/>
    <cellStyle name="20% - アクセント 3 2 2 2 4" xfId="1077"/>
    <cellStyle name="20% - アクセント 3 2 2 2 5" xfId="767"/>
    <cellStyle name="20% - アクセント 3 2 2 3" xfId="596"/>
    <cellStyle name="20% - アクセント 3 2 2 3 2" xfId="731"/>
    <cellStyle name="20% - アクセント 3 2 2 3 2 2" xfId="1041"/>
    <cellStyle name="20% - アクセント 3 2 2 3 3" xfId="923"/>
    <cellStyle name="20% - アクセント 3 2 2 4" xfId="485"/>
    <cellStyle name="20% - アクセント 3 2 2 4 2" xfId="879"/>
    <cellStyle name="20% - アクセント 3 2 2 5" xfId="691"/>
    <cellStyle name="20% - アクセント 3 2 2 5 2" xfId="1001"/>
    <cellStyle name="20% - アクセント 3 2 2 6" xfId="1059"/>
    <cellStyle name="20% - アクセント 3 2 2 7" xfId="749"/>
    <cellStyle name="20% - アクセント 3 2 3" xfId="557"/>
    <cellStyle name="20% - アクセント 3 2 4" xfId="538"/>
    <cellStyle name="20% - アクセント 3 3" xfId="73"/>
    <cellStyle name="20% - アクセント 3 3 2" xfId="230"/>
    <cellStyle name="20% - アクセント 3 3 3" xfId="142"/>
    <cellStyle name="20% - アクセント 3 4" xfId="71"/>
    <cellStyle name="20% - アクセント 3 4 2" xfId="229"/>
    <cellStyle name="20% - アクセント 3 4 3" xfId="143"/>
    <cellStyle name="20% - アクセント 4 2" xfId="75"/>
    <cellStyle name="20% - アクセント 4 2 2" xfId="325"/>
    <cellStyle name="20% - アクセント 4 2 2 2" xfId="366"/>
    <cellStyle name="20% - アクセント 4 2 2 2 2" xfId="510"/>
    <cellStyle name="20% - アクセント 4 2 2 2 2 2" xfId="903"/>
    <cellStyle name="20% - アクセント 4 2 2 2 3" xfId="711"/>
    <cellStyle name="20% - アクセント 4 2 2 2 3 2" xfId="1021"/>
    <cellStyle name="20% - アクセント 4 2 2 2 4" xfId="1079"/>
    <cellStyle name="20% - アクセント 4 2 2 2 5" xfId="769"/>
    <cellStyle name="20% - アクセント 4 2 2 3" xfId="598"/>
    <cellStyle name="20% - アクセント 4 2 2 3 2" xfId="733"/>
    <cellStyle name="20% - アクセント 4 2 2 3 2 2" xfId="1043"/>
    <cellStyle name="20% - アクセント 4 2 2 3 3" xfId="925"/>
    <cellStyle name="20% - アクセント 4 2 2 4" xfId="487"/>
    <cellStyle name="20% - アクセント 4 2 2 4 2" xfId="881"/>
    <cellStyle name="20% - アクセント 4 2 2 5" xfId="693"/>
    <cellStyle name="20% - アクセント 4 2 2 5 2" xfId="1003"/>
    <cellStyle name="20% - アクセント 4 2 2 6" xfId="1061"/>
    <cellStyle name="20% - アクセント 4 2 2 7" xfId="751"/>
    <cellStyle name="20% - アクセント 4 2 3" xfId="558"/>
    <cellStyle name="20% - アクセント 4 2 4" xfId="537"/>
    <cellStyle name="20% - アクセント 4 3" xfId="76"/>
    <cellStyle name="20% - アクセント 4 3 2" xfId="231"/>
    <cellStyle name="20% - アクセント 4 3 3" xfId="144"/>
    <cellStyle name="20% - アクセント 4 4" xfId="74"/>
    <cellStyle name="20% - アクセント 4 4 2" xfId="145"/>
    <cellStyle name="20% - アクセント 5 2" xfId="78"/>
    <cellStyle name="20% - アクセント 5 2 2" xfId="329"/>
    <cellStyle name="20% - アクセント 5 2 2 2" xfId="368"/>
    <cellStyle name="20% - アクセント 5 2 2 2 2" xfId="512"/>
    <cellStyle name="20% - アクセント 5 2 2 2 2 2" xfId="905"/>
    <cellStyle name="20% - アクセント 5 2 2 2 3" xfId="713"/>
    <cellStyle name="20% - アクセント 5 2 2 2 3 2" xfId="1023"/>
    <cellStyle name="20% - アクセント 5 2 2 2 4" xfId="1081"/>
    <cellStyle name="20% - アクセント 5 2 2 2 5" xfId="771"/>
    <cellStyle name="20% - アクセント 5 2 2 3" xfId="600"/>
    <cellStyle name="20% - アクセント 5 2 2 3 2" xfId="735"/>
    <cellStyle name="20% - アクセント 5 2 2 3 2 2" xfId="1045"/>
    <cellStyle name="20% - アクセント 5 2 2 3 3" xfId="927"/>
    <cellStyle name="20% - アクセント 5 2 2 4" xfId="489"/>
    <cellStyle name="20% - アクセント 5 2 2 4 2" xfId="883"/>
    <cellStyle name="20% - アクセント 5 2 2 5" xfId="695"/>
    <cellStyle name="20% - アクセント 5 2 2 5 2" xfId="1005"/>
    <cellStyle name="20% - アクセント 5 2 2 6" xfId="1063"/>
    <cellStyle name="20% - アクセント 5 2 2 7" xfId="753"/>
    <cellStyle name="20% - アクセント 5 2 3" xfId="559"/>
    <cellStyle name="20% - アクセント 5 2 4" xfId="536"/>
    <cellStyle name="20% - アクセント 5 3" xfId="79"/>
    <cellStyle name="20% - アクセント 5 3 2" xfId="233"/>
    <cellStyle name="20% - アクセント 5 3 3" xfId="146"/>
    <cellStyle name="20% - アクセント 5 4" xfId="77"/>
    <cellStyle name="20% - アクセント 5 4 2" xfId="232"/>
    <cellStyle name="20% - アクセント 6 2" xfId="81"/>
    <cellStyle name="20% - アクセント 6 2 2" xfId="333"/>
    <cellStyle name="20% - アクセント 6 2 2 2" xfId="370"/>
    <cellStyle name="20% - アクセント 6 2 2 2 2" xfId="514"/>
    <cellStyle name="20% - アクセント 6 2 2 2 2 2" xfId="907"/>
    <cellStyle name="20% - アクセント 6 2 2 2 3" xfId="715"/>
    <cellStyle name="20% - アクセント 6 2 2 2 3 2" xfId="1025"/>
    <cellStyle name="20% - アクセント 6 2 2 2 4" xfId="1083"/>
    <cellStyle name="20% - アクセント 6 2 2 2 5" xfId="773"/>
    <cellStyle name="20% - アクセント 6 2 2 3" xfId="602"/>
    <cellStyle name="20% - アクセント 6 2 2 3 2" xfId="737"/>
    <cellStyle name="20% - アクセント 6 2 2 3 2 2" xfId="1047"/>
    <cellStyle name="20% - アクセント 6 2 2 3 3" xfId="929"/>
    <cellStyle name="20% - アクセント 6 2 2 4" xfId="492"/>
    <cellStyle name="20% - アクセント 6 2 2 4 2" xfId="886"/>
    <cellStyle name="20% - アクセント 6 2 2 5" xfId="697"/>
    <cellStyle name="20% - アクセント 6 2 2 5 2" xfId="1007"/>
    <cellStyle name="20% - アクセント 6 2 2 6" xfId="1065"/>
    <cellStyle name="20% - アクセント 6 2 2 7" xfId="755"/>
    <cellStyle name="20% - アクセント 6 2 3" xfId="560"/>
    <cellStyle name="20% - アクセント 6 2 4" xfId="535"/>
    <cellStyle name="20% - アクセント 6 3" xfId="82"/>
    <cellStyle name="20% - アクセント 6 3 2" xfId="235"/>
    <cellStyle name="20% - アクセント 6 3 3" xfId="147"/>
    <cellStyle name="20% - アクセント 6 4" xfId="80"/>
    <cellStyle name="20% - アクセント 6 4 2" xfId="234"/>
    <cellStyle name="20% - アクセント 6 4 3" xfId="148"/>
    <cellStyle name="40% - アクセント 1 2" xfId="84"/>
    <cellStyle name="40% - アクセント 1 2 2" xfId="314"/>
    <cellStyle name="40% - アクセント 1 2 2 2" xfId="361"/>
    <cellStyle name="40% - アクセント 1 2 2 2 2" xfId="505"/>
    <cellStyle name="40% - アクセント 1 2 2 2 2 2" xfId="898"/>
    <cellStyle name="40% - アクセント 1 2 2 2 3" xfId="706"/>
    <cellStyle name="40% - アクセント 1 2 2 2 3 2" xfId="1016"/>
    <cellStyle name="40% - アクセント 1 2 2 2 4" xfId="1074"/>
    <cellStyle name="40% - アクセント 1 2 2 2 5" xfId="764"/>
    <cellStyle name="40% - アクセント 1 2 2 3" xfId="593"/>
    <cellStyle name="40% - アクセント 1 2 2 3 2" xfId="728"/>
    <cellStyle name="40% - アクセント 1 2 2 3 2 2" xfId="1038"/>
    <cellStyle name="40% - アクセント 1 2 2 3 3" xfId="920"/>
    <cellStyle name="40% - アクセント 1 2 2 4" xfId="479"/>
    <cellStyle name="40% - アクセント 1 2 2 4 2" xfId="873"/>
    <cellStyle name="40% - アクセント 1 2 2 5" xfId="688"/>
    <cellStyle name="40% - アクセント 1 2 2 5 2" xfId="998"/>
    <cellStyle name="40% - アクセント 1 2 2 6" xfId="1056"/>
    <cellStyle name="40% - アクセント 1 2 2 7" xfId="746"/>
    <cellStyle name="40% - アクセント 1 3" xfId="85"/>
    <cellStyle name="40% - アクセント 1 3 2" xfId="236"/>
    <cellStyle name="40% - アクセント 1 3 3" xfId="149"/>
    <cellStyle name="40% - アクセント 1 4" xfId="83"/>
    <cellStyle name="40% - アクセント 2 2" xfId="87"/>
    <cellStyle name="40% - アクセント 2 2 2" xfId="318"/>
    <cellStyle name="40% - アクセント 2 2 2 2" xfId="363"/>
    <cellStyle name="40% - アクセント 2 2 2 2 2" xfId="507"/>
    <cellStyle name="40% - アクセント 2 2 2 2 2 2" xfId="900"/>
    <cellStyle name="40% - アクセント 2 2 2 2 3" xfId="708"/>
    <cellStyle name="40% - アクセント 2 2 2 2 3 2" xfId="1018"/>
    <cellStyle name="40% - アクセント 2 2 2 2 4" xfId="1076"/>
    <cellStyle name="40% - アクセント 2 2 2 2 5" xfId="766"/>
    <cellStyle name="40% - アクセント 2 2 2 3" xfId="595"/>
    <cellStyle name="40% - アクセント 2 2 2 3 2" xfId="730"/>
    <cellStyle name="40% - アクセント 2 2 2 3 2 2" xfId="1040"/>
    <cellStyle name="40% - アクセント 2 2 2 3 3" xfId="922"/>
    <cellStyle name="40% - アクセント 2 2 2 4" xfId="482"/>
    <cellStyle name="40% - アクセント 2 2 2 4 2" xfId="876"/>
    <cellStyle name="40% - アクセント 2 2 2 5" xfId="690"/>
    <cellStyle name="40% - アクセント 2 2 2 5 2" xfId="1000"/>
    <cellStyle name="40% - アクセント 2 2 2 6" xfId="1058"/>
    <cellStyle name="40% - アクセント 2 2 2 7" xfId="748"/>
    <cellStyle name="40% - アクセント 2 2 3" xfId="561"/>
    <cellStyle name="40% - アクセント 2 2 4" xfId="534"/>
    <cellStyle name="40% - アクセント 2 3" xfId="88"/>
    <cellStyle name="40% - アクセント 2 3 2" xfId="237"/>
    <cellStyle name="40% - アクセント 2 3 3" xfId="150"/>
    <cellStyle name="40% - アクセント 2 4" xfId="86"/>
    <cellStyle name="40% - アクセント 3 2" xfId="90"/>
    <cellStyle name="40% - アクセント 3 2 2" xfId="322"/>
    <cellStyle name="40% - アクセント 3 2 2 2" xfId="365"/>
    <cellStyle name="40% - アクセント 3 2 2 2 2" xfId="509"/>
    <cellStyle name="40% - アクセント 3 2 2 2 2 2" xfId="902"/>
    <cellStyle name="40% - アクセント 3 2 2 2 3" xfId="710"/>
    <cellStyle name="40% - アクセント 3 2 2 2 3 2" xfId="1020"/>
    <cellStyle name="40% - アクセント 3 2 2 2 4" xfId="1078"/>
    <cellStyle name="40% - アクセント 3 2 2 2 5" xfId="768"/>
    <cellStyle name="40% - アクセント 3 2 2 3" xfId="597"/>
    <cellStyle name="40% - アクセント 3 2 2 3 2" xfId="732"/>
    <cellStyle name="40% - アクセント 3 2 2 3 2 2" xfId="1042"/>
    <cellStyle name="40% - アクセント 3 2 2 3 3" xfId="924"/>
    <cellStyle name="40% - アクセント 3 2 2 4" xfId="486"/>
    <cellStyle name="40% - アクセント 3 2 2 4 2" xfId="880"/>
    <cellStyle name="40% - アクセント 3 2 2 5" xfId="692"/>
    <cellStyle name="40% - アクセント 3 2 2 5 2" xfId="1002"/>
    <cellStyle name="40% - アクセント 3 2 2 6" xfId="1060"/>
    <cellStyle name="40% - アクセント 3 2 2 7" xfId="750"/>
    <cellStyle name="40% - アクセント 3 2 3" xfId="562"/>
    <cellStyle name="40% - アクセント 3 2 4" xfId="533"/>
    <cellStyle name="40% - アクセント 3 3" xfId="91"/>
    <cellStyle name="40% - アクセント 3 3 2" xfId="239"/>
    <cellStyle name="40% - アクセント 3 3 3" xfId="151"/>
    <cellStyle name="40% - アクセント 3 4" xfId="89"/>
    <cellStyle name="40% - アクセント 3 4 2" xfId="238"/>
    <cellStyle name="40% - アクセント 3 4 3" xfId="152"/>
    <cellStyle name="40% - アクセント 4 2" xfId="93"/>
    <cellStyle name="40% - アクセント 4 2 2" xfId="326"/>
    <cellStyle name="40% - アクセント 4 2 2 2" xfId="367"/>
    <cellStyle name="40% - アクセント 4 2 2 2 2" xfId="511"/>
    <cellStyle name="40% - アクセント 4 2 2 2 2 2" xfId="904"/>
    <cellStyle name="40% - アクセント 4 2 2 2 3" xfId="712"/>
    <cellStyle name="40% - アクセント 4 2 2 2 3 2" xfId="1022"/>
    <cellStyle name="40% - アクセント 4 2 2 2 4" xfId="1080"/>
    <cellStyle name="40% - アクセント 4 2 2 2 5" xfId="770"/>
    <cellStyle name="40% - アクセント 4 2 2 3" xfId="599"/>
    <cellStyle name="40% - アクセント 4 2 2 3 2" xfId="734"/>
    <cellStyle name="40% - アクセント 4 2 2 3 2 2" xfId="1044"/>
    <cellStyle name="40% - アクセント 4 2 2 3 3" xfId="926"/>
    <cellStyle name="40% - アクセント 4 2 2 4" xfId="488"/>
    <cellStyle name="40% - アクセント 4 2 2 4 2" xfId="882"/>
    <cellStyle name="40% - アクセント 4 2 2 5" xfId="694"/>
    <cellStyle name="40% - アクセント 4 2 2 5 2" xfId="1004"/>
    <cellStyle name="40% - アクセント 4 2 2 6" xfId="1062"/>
    <cellStyle name="40% - アクセント 4 2 2 7" xfId="752"/>
    <cellStyle name="40% - アクセント 4 2 3" xfId="563"/>
    <cellStyle name="40% - アクセント 4 2 4" xfId="532"/>
    <cellStyle name="40% - アクセント 4 3" xfId="94"/>
    <cellStyle name="40% - アクセント 4 3 2" xfId="240"/>
    <cellStyle name="40% - アクセント 4 3 3" xfId="153"/>
    <cellStyle name="40% - アクセント 4 4" xfId="92"/>
    <cellStyle name="40% - アクセント 4 4 2" xfId="154"/>
    <cellStyle name="40% - アクセント 5 2" xfId="96"/>
    <cellStyle name="40% - アクセント 5 2 2" xfId="330"/>
    <cellStyle name="40% - アクセント 5 2 2 2" xfId="369"/>
    <cellStyle name="40% - アクセント 5 2 2 2 2" xfId="513"/>
    <cellStyle name="40% - アクセント 5 2 2 2 2 2" xfId="906"/>
    <cellStyle name="40% - アクセント 5 2 2 2 3" xfId="714"/>
    <cellStyle name="40% - アクセント 5 2 2 2 3 2" xfId="1024"/>
    <cellStyle name="40% - アクセント 5 2 2 2 4" xfId="1082"/>
    <cellStyle name="40% - アクセント 5 2 2 2 5" xfId="772"/>
    <cellStyle name="40% - アクセント 5 2 2 3" xfId="601"/>
    <cellStyle name="40% - アクセント 5 2 2 3 2" xfId="736"/>
    <cellStyle name="40% - アクセント 5 2 2 3 2 2" xfId="1046"/>
    <cellStyle name="40% - アクセント 5 2 2 3 3" xfId="928"/>
    <cellStyle name="40% - アクセント 5 2 2 4" xfId="490"/>
    <cellStyle name="40% - アクセント 5 2 2 4 2" xfId="884"/>
    <cellStyle name="40% - アクセント 5 2 2 5" xfId="696"/>
    <cellStyle name="40% - アクセント 5 2 2 5 2" xfId="1006"/>
    <cellStyle name="40% - アクセント 5 2 2 6" xfId="1064"/>
    <cellStyle name="40% - アクセント 5 2 2 7" xfId="754"/>
    <cellStyle name="40% - アクセント 5 3" xfId="97"/>
    <cellStyle name="40% - アクセント 5 3 2" xfId="241"/>
    <cellStyle name="40% - アクセント 5 3 3" xfId="155"/>
    <cellStyle name="40% - アクセント 5 4" xfId="95"/>
    <cellStyle name="40% - アクセント 6 2" xfId="99"/>
    <cellStyle name="40% - アクセント 6 2 2" xfId="334"/>
    <cellStyle name="40% - アクセント 6 2 2 2" xfId="371"/>
    <cellStyle name="40% - アクセント 6 2 2 2 2" xfId="515"/>
    <cellStyle name="40% - アクセント 6 2 2 2 2 2" xfId="908"/>
    <cellStyle name="40% - アクセント 6 2 2 2 3" xfId="716"/>
    <cellStyle name="40% - アクセント 6 2 2 2 3 2" xfId="1026"/>
    <cellStyle name="40% - アクセント 6 2 2 2 4" xfId="1084"/>
    <cellStyle name="40% - アクセント 6 2 2 2 5" xfId="774"/>
    <cellStyle name="40% - アクセント 6 2 2 3" xfId="603"/>
    <cellStyle name="40% - アクセント 6 2 2 3 2" xfId="738"/>
    <cellStyle name="40% - アクセント 6 2 2 3 2 2" xfId="1048"/>
    <cellStyle name="40% - アクセント 6 2 2 3 3" xfId="930"/>
    <cellStyle name="40% - アクセント 6 2 2 4" xfId="493"/>
    <cellStyle name="40% - アクセント 6 2 2 4 2" xfId="887"/>
    <cellStyle name="40% - アクセント 6 2 2 5" xfId="698"/>
    <cellStyle name="40% - アクセント 6 2 2 5 2" xfId="1008"/>
    <cellStyle name="40% - アクセント 6 2 2 6" xfId="1066"/>
    <cellStyle name="40% - アクセント 6 2 2 7" xfId="756"/>
    <cellStyle name="40% - アクセント 6 2 3" xfId="564"/>
    <cellStyle name="40% - アクセント 6 2 4" xfId="531"/>
    <cellStyle name="40% - アクセント 6 3" xfId="100"/>
    <cellStyle name="40% - アクセント 6 3 2" xfId="243"/>
    <cellStyle name="40% - アクセント 6 3 3" xfId="156"/>
    <cellStyle name="40% - アクセント 6 4" xfId="98"/>
    <cellStyle name="40% - アクセント 6 4 2" xfId="242"/>
    <cellStyle name="40% - アクセント 6 4 3" xfId="157"/>
    <cellStyle name="60% - アクセント 1 2" xfId="101"/>
    <cellStyle name="60% - アクセント 1 2 2" xfId="315"/>
    <cellStyle name="60% - アクセント 1 2 3" xfId="565"/>
    <cellStyle name="60% - アクセント 1 2 4" xfId="530"/>
    <cellStyle name="60% - アクセント 1 3" xfId="158"/>
    <cellStyle name="60% - アクセント 1 3 2" xfId="244"/>
    <cellStyle name="60% - アクセント 1 4" xfId="159"/>
    <cellStyle name="60% - アクセント 2 2" xfId="102"/>
    <cellStyle name="60% - アクセント 2 2 2" xfId="319"/>
    <cellStyle name="60% - アクセント 2 2 3" xfId="566"/>
    <cellStyle name="60% - アクセント 2 2 4" xfId="529"/>
    <cellStyle name="60% - アクセント 2 3" xfId="160"/>
    <cellStyle name="60% - アクセント 2 3 2" xfId="245"/>
    <cellStyle name="60% - アクセント 2 4" xfId="161"/>
    <cellStyle name="60% - アクセント 3 2" xfId="103"/>
    <cellStyle name="60% - アクセント 3 2 2" xfId="323"/>
    <cellStyle name="60% - アクセント 3 2 3" xfId="567"/>
    <cellStyle name="60% - アクセント 3 2 4" xfId="528"/>
    <cellStyle name="60% - アクセント 3 3" xfId="162"/>
    <cellStyle name="60% - アクセント 3 3 2" xfId="246"/>
    <cellStyle name="60% - アクセント 3 4" xfId="163"/>
    <cellStyle name="60% - アクセント 4 2" xfId="104"/>
    <cellStyle name="60% - アクセント 4 2 2" xfId="327"/>
    <cellStyle name="60% - アクセント 4 2 3" xfId="568"/>
    <cellStyle name="60% - アクセント 4 2 4" xfId="527"/>
    <cellStyle name="60% - アクセント 4 3" xfId="164"/>
    <cellStyle name="60% - アクセント 4 3 2" xfId="247"/>
    <cellStyle name="60% - アクセント 4 4" xfId="165"/>
    <cellStyle name="60% - アクセント 5 2" xfId="105"/>
    <cellStyle name="60% - アクセント 5 2 2" xfId="331"/>
    <cellStyle name="60% - アクセント 5 3" xfId="166"/>
    <cellStyle name="60% - アクセント 5 3 2" xfId="249"/>
    <cellStyle name="60% - アクセント 5 4" xfId="248"/>
    <cellStyle name="60% - アクセント 6 2" xfId="106"/>
    <cellStyle name="60% - アクセント 6 2 2" xfId="335"/>
    <cellStyle name="60% - アクセント 6 2 3" xfId="569"/>
    <cellStyle name="60% - アクセント 6 2 4" xfId="526"/>
    <cellStyle name="60% - アクセント 6 3" xfId="167"/>
    <cellStyle name="60% - アクセント 6 3 2" xfId="251"/>
    <cellStyle name="60% - アクセント 6 4" xfId="168"/>
    <cellStyle name="60% - アクセント 6 4 2" xfId="250"/>
    <cellStyle name="Grey" xfId="1"/>
    <cellStyle name="Header1" xfId="2"/>
    <cellStyle name="Header2" xfId="3"/>
    <cellStyle name="Header2 2" xfId="337"/>
    <cellStyle name="Header2 2 2" xfId="554"/>
    <cellStyle name="IBM(401K)" xfId="4"/>
    <cellStyle name="Input [yellow]" xfId="5"/>
    <cellStyle name="Input [yellow] 2" xfId="338"/>
    <cellStyle name="J401K" xfId="6"/>
    <cellStyle name="JT帳票" xfId="7"/>
    <cellStyle name="Komma [0]_laroux" xfId="8"/>
    <cellStyle name="Komma_laroux" xfId="9"/>
    <cellStyle name="Normal - Style1" xfId="10"/>
    <cellStyle name="Normal_laroux" xfId="11"/>
    <cellStyle name="Percent [2]" xfId="12"/>
    <cellStyle name="Standaard_laroux" xfId="13"/>
    <cellStyle name="Valuta [0]_laroux" xfId="14"/>
    <cellStyle name="Valuta_laroux" xfId="15"/>
    <cellStyle name="アクセント 1 2" xfId="107"/>
    <cellStyle name="アクセント 1 2 2" xfId="312"/>
    <cellStyle name="アクセント 1 2 3" xfId="570"/>
    <cellStyle name="アクセント 1 2 4" xfId="525"/>
    <cellStyle name="アクセント 1 3" xfId="169"/>
    <cellStyle name="アクセント 1 3 2" xfId="252"/>
    <cellStyle name="アクセント 1 4" xfId="170"/>
    <cellStyle name="アクセント 2 2" xfId="108"/>
    <cellStyle name="アクセント 2 2 2" xfId="253"/>
    <cellStyle name="アクセント 2 2 3" xfId="316"/>
    <cellStyle name="アクセント 2 2 4" xfId="571"/>
    <cellStyle name="アクセント 2 2 5" xfId="524"/>
    <cellStyle name="アクセント 2 3" xfId="171"/>
    <cellStyle name="アクセント 3 2" xfId="109"/>
    <cellStyle name="アクセント 3 2 2" xfId="320"/>
    <cellStyle name="アクセント 3 2 3" xfId="572"/>
    <cellStyle name="アクセント 3 2 4" xfId="523"/>
    <cellStyle name="アクセント 3 3" xfId="172"/>
    <cellStyle name="アクセント 3 3 2" xfId="254"/>
    <cellStyle name="アクセント 3 4" xfId="173"/>
    <cellStyle name="アクセント 4 2" xfId="110"/>
    <cellStyle name="アクセント 4 2 2" xfId="324"/>
    <cellStyle name="アクセント 4 2 3" xfId="573"/>
    <cellStyle name="アクセント 4 2 4" xfId="522"/>
    <cellStyle name="アクセント 4 3" xfId="174"/>
    <cellStyle name="アクセント 4 3 2" xfId="256"/>
    <cellStyle name="アクセント 4 4" xfId="175"/>
    <cellStyle name="アクセント 4 4 2" xfId="255"/>
    <cellStyle name="アクセント 5 2" xfId="111"/>
    <cellStyle name="アクセント 5 2 2" xfId="328"/>
    <cellStyle name="アクセント 5 2 3" xfId="574"/>
    <cellStyle name="アクセント 5 2 4" xfId="521"/>
    <cellStyle name="アクセント 5 3" xfId="176"/>
    <cellStyle name="アクセント 5 3 2" xfId="258"/>
    <cellStyle name="アクセント 5 4" xfId="257"/>
    <cellStyle name="アクセント 6 2" xfId="112"/>
    <cellStyle name="アクセント 6 2 2" xfId="332"/>
    <cellStyle name="アクセント 6 2 3" xfId="575"/>
    <cellStyle name="アクセント 6 2 4" xfId="520"/>
    <cellStyle name="アクセント 6 3" xfId="177"/>
    <cellStyle name="アクセント 6 3 2" xfId="260"/>
    <cellStyle name="アクセント 6 4" xfId="178"/>
    <cellStyle name="アクセント 6 4 2" xfId="259"/>
    <cellStyle name="コスモ" xfId="16"/>
    <cellStyle name="タイトル" xfId="17" builtinId="15" customBuiltin="1"/>
    <cellStyle name="タイトル 2" xfId="113"/>
    <cellStyle name="タイトル 2 2" xfId="295"/>
    <cellStyle name="タイトル 2 3" xfId="576"/>
    <cellStyle name="タイトル 2 4" xfId="519"/>
    <cellStyle name="タイトル 3" xfId="179"/>
    <cellStyle name="タイトル 3 2" xfId="262"/>
    <cellStyle name="タイトル 4" xfId="180"/>
    <cellStyle name="タイトル 4 2" xfId="261"/>
    <cellStyle name="チェック セル 2" xfId="114"/>
    <cellStyle name="チェック セル 2 2" xfId="263"/>
    <cellStyle name="チェック セル 2 3" xfId="307"/>
    <cellStyle name="どちらでもない 2" xfId="115"/>
    <cellStyle name="どちらでもない 2 2" xfId="302"/>
    <cellStyle name="どちらでもない 3" xfId="181"/>
    <cellStyle name="どちらでもない 3 2" xfId="264"/>
    <cellStyle name="どちらでもない 4" xfId="182"/>
    <cellStyle name="パーセント" xfId="18" builtinId="5"/>
    <cellStyle name="パーセント 2" xfId="19"/>
    <cellStyle name="パーセント 2 2" xfId="20"/>
    <cellStyle name="パーセント 2 3" xfId="117"/>
    <cellStyle name="パーセント 2 3 2" xfId="577"/>
    <cellStyle name="パーセント 2 3 3" xfId="541"/>
    <cellStyle name="パーセント 2 4" xfId="288"/>
    <cellStyle name="パーセント 3" xfId="21"/>
    <cellStyle name="パーセント 3 2" xfId="118"/>
    <cellStyle name="パーセント 4" xfId="116"/>
    <cellStyle name="パーセント 5" xfId="183"/>
    <cellStyle name="ハイパーリンク" xfId="22" builtinId="8"/>
    <cellStyle name="ハイパーリンク 2" xfId="184"/>
    <cellStyle name="ハイパーリンク 3" xfId="224"/>
    <cellStyle name="ハイパーリンク 4" xfId="287"/>
    <cellStyle name="ハイパーリンク 5" xfId="518"/>
    <cellStyle name="メモ 2" xfId="23"/>
    <cellStyle name="メモ 2 2" xfId="309"/>
    <cellStyle name="メモ 2 2 2" xfId="359"/>
    <cellStyle name="メモ 2 2 2 2" xfId="503"/>
    <cellStyle name="メモ 2 2 2 2 2" xfId="896"/>
    <cellStyle name="メモ 2 2 2 3" xfId="704"/>
    <cellStyle name="メモ 2 2 2 3 2" xfId="1014"/>
    <cellStyle name="メモ 2 2 2 4" xfId="1072"/>
    <cellStyle name="メモ 2 2 2 5" xfId="762"/>
    <cellStyle name="メモ 2 2 3" xfId="591"/>
    <cellStyle name="メモ 2 2 3 2" xfId="726"/>
    <cellStyle name="メモ 2 2 3 2 2" xfId="1036"/>
    <cellStyle name="メモ 2 2 3 3" xfId="918"/>
    <cellStyle name="メモ 2 2 4" xfId="476"/>
    <cellStyle name="メモ 2 2 4 2" xfId="870"/>
    <cellStyle name="メモ 2 2 5" xfId="686"/>
    <cellStyle name="メモ 2 2 5 2" xfId="996"/>
    <cellStyle name="メモ 2 2 6" xfId="1054"/>
    <cellStyle name="メモ 2 2 7" xfId="744"/>
    <cellStyle name="メモ 2 3" xfId="339"/>
    <cellStyle name="メモ 2 3 2" xfId="474"/>
    <cellStyle name="メモ 2 3 2 2" xfId="868"/>
    <cellStyle name="メモ 2 3 3" xfId="666"/>
    <cellStyle name="メモ 2 3 3 2" xfId="980"/>
    <cellStyle name="メモ 2 3 4" xfId="620"/>
    <cellStyle name="メモ 2 3 4 2" xfId="942"/>
    <cellStyle name="メモ 2 3 5" xfId="429"/>
    <cellStyle name="メモ 2 3 5 2" xfId="825"/>
    <cellStyle name="メモ 2 3 6" xfId="663"/>
    <cellStyle name="メモ 2 3 6 2" xfId="977"/>
    <cellStyle name="メモ 2 3 7" xfId="626"/>
    <cellStyle name="メモ 2 3 7 2" xfId="947"/>
    <cellStyle name="メモ 2 3 8" xfId="656"/>
    <cellStyle name="メモ 3" xfId="185"/>
    <cellStyle name="メモ 3 2" xfId="345"/>
    <cellStyle name="メモ 3 2 2" xfId="491"/>
    <cellStyle name="メモ 3 2 2 2" xfId="885"/>
    <cellStyle name="メモ 3 2 3" xfId="396"/>
    <cellStyle name="メモ 3 2 3 2" xfId="794"/>
    <cellStyle name="メモ 3 2 4" xfId="400"/>
    <cellStyle name="メモ 3 2 4 2" xfId="798"/>
    <cellStyle name="メモ 3 2 5" xfId="483"/>
    <cellStyle name="メモ 3 2 5 2" xfId="877"/>
    <cellStyle name="メモ 3 2 6" xfId="414"/>
    <cellStyle name="メモ 3 2 6 2" xfId="810"/>
    <cellStyle name="メモ 3 2 7" xfId="658"/>
    <cellStyle name="メモ 3 2 7 2" xfId="973"/>
    <cellStyle name="メモ 3 2 8" xfId="647"/>
    <cellStyle name="メモ 3 3" xfId="542"/>
    <cellStyle name="メモ 3 3 2" xfId="410"/>
    <cellStyle name="メモ 3 3 2 2" xfId="807"/>
    <cellStyle name="メモ 3 3 3" xfId="389"/>
    <cellStyle name="メモ 3 3 3 2" xfId="789"/>
    <cellStyle name="メモ 3 3 4" xfId="622"/>
    <cellStyle name="メモ 3 3 4 2" xfId="944"/>
    <cellStyle name="メモ 3 3 5" xfId="381"/>
    <cellStyle name="メモ 3 3 5 2" xfId="782"/>
    <cellStyle name="メモ 3 3 6" xfId="456"/>
    <cellStyle name="メモ 3 3 6 2" xfId="852"/>
    <cellStyle name="メモ 3 3 7" xfId="667"/>
    <cellStyle name="メモ 3 3 7 2" xfId="981"/>
    <cellStyle name="メモ 3 3 8" xfId="625"/>
    <cellStyle name="メモ 4" xfId="186"/>
    <cellStyle name="メモ 4 2" xfId="265"/>
    <cellStyle name="メモ 4 3" xfId="346"/>
    <cellStyle name="メモ 4 3 2" xfId="374"/>
    <cellStyle name="メモ 4 3 2 2" xfId="777"/>
    <cellStyle name="メモ 4 3 3" xfId="411"/>
    <cellStyle name="メモ 4 3 3 2" xfId="808"/>
    <cellStyle name="メモ 4 3 4" xfId="379"/>
    <cellStyle name="メモ 4 3 4 2" xfId="781"/>
    <cellStyle name="メモ 4 3 5" xfId="652"/>
    <cellStyle name="メモ 4 3 5 2" xfId="969"/>
    <cellStyle name="メモ 4 3 6" xfId="394"/>
    <cellStyle name="メモ 4 3 6 2" xfId="793"/>
    <cellStyle name="メモ 4 3 7" xfId="461"/>
    <cellStyle name="メモ 4 3 7 2" xfId="856"/>
    <cellStyle name="メモ 4 3 8" xfId="382"/>
    <cellStyle name="メモ 5" xfId="222"/>
    <cellStyle name="メモ 5 2" xfId="352"/>
    <cellStyle name="メモ 5 2 2" xfId="408"/>
    <cellStyle name="メモ 5 2 2 2" xfId="805"/>
    <cellStyle name="メモ 5 2 3" xfId="624"/>
    <cellStyle name="メモ 5 2 3 2" xfId="946"/>
    <cellStyle name="メモ 5 2 4" xfId="659"/>
    <cellStyle name="メモ 5 2 4 2" xfId="974"/>
    <cellStyle name="メモ 5 2 5" xfId="630"/>
    <cellStyle name="メモ 5 2 5 2" xfId="951"/>
    <cellStyle name="メモ 5 2 6" xfId="405"/>
    <cellStyle name="メモ 5 2 6 2" xfId="802"/>
    <cellStyle name="メモ 5 2 7" xfId="628"/>
    <cellStyle name="メモ 5 2 7 2" xfId="949"/>
    <cellStyle name="メモ 5 2 8" xfId="639"/>
    <cellStyle name="メモ 6" xfId="289"/>
    <cellStyle name="メモ 6 2" xfId="355"/>
    <cellStyle name="メモ 6 2 2" xfId="617"/>
    <cellStyle name="メモ 6 2 2 2" xfId="939"/>
    <cellStyle name="メモ 6 2 3" xfId="465"/>
    <cellStyle name="メモ 6 2 3 2" xfId="859"/>
    <cellStyle name="メモ 6 2 4" xfId="651"/>
    <cellStyle name="メモ 6 2 4 2" xfId="968"/>
    <cellStyle name="メモ 6 2 5" xfId="466"/>
    <cellStyle name="メモ 6 2 5 2" xfId="860"/>
    <cellStyle name="メモ 6 2 6" xfId="674"/>
    <cellStyle name="メモ 6 2 6 2" xfId="988"/>
    <cellStyle name="メモ 6 2 7" xfId="425"/>
    <cellStyle name="メモ 6 2 7 2" xfId="821"/>
    <cellStyle name="メモ 6 2 8" xfId="375"/>
    <cellStyle name="リンク セル 2" xfId="119"/>
    <cellStyle name="リンク セル 2 2" xfId="306"/>
    <cellStyle name="リンク セル 3" xfId="187"/>
    <cellStyle name="リンク セル 3 2" xfId="266"/>
    <cellStyle name="悪い 2" xfId="120"/>
    <cellStyle name="悪い 2 2" xfId="301"/>
    <cellStyle name="悪い 3" xfId="188"/>
    <cellStyle name="悪い 3 2" xfId="267"/>
    <cellStyle name="計算 2" xfId="121"/>
    <cellStyle name="計算 2 10" xfId="657"/>
    <cellStyle name="計算 2 2" xfId="305"/>
    <cellStyle name="計算 2 3" xfId="341"/>
    <cellStyle name="計算 2 3 2" xfId="384"/>
    <cellStyle name="計算 2 3 2 2" xfId="784"/>
    <cellStyle name="計算 2 3 3" xfId="383"/>
    <cellStyle name="計算 2 3 3 2" xfId="783"/>
    <cellStyle name="計算 2 3 4" xfId="610"/>
    <cellStyle name="計算 2 3 4 2" xfId="935"/>
    <cellStyle name="計算 2 3 5" xfId="605"/>
    <cellStyle name="計算 2 3 5 2" xfId="931"/>
    <cellStyle name="計算 2 3 6" xfId="672"/>
    <cellStyle name="計算 2 3 6 2" xfId="986"/>
    <cellStyle name="計算 2 3 7" xfId="443"/>
    <cellStyle name="計算 2 3 7 2" xfId="839"/>
    <cellStyle name="計算 2 3 8" xfId="675"/>
    <cellStyle name="計算 2 4" xfId="386"/>
    <cellStyle name="計算 2 4 2" xfId="786"/>
    <cellStyle name="計算 2 5" xfId="433"/>
    <cellStyle name="計算 2 5 2" xfId="829"/>
    <cellStyle name="計算 2 6" xfId="436"/>
    <cellStyle name="計算 2 6 2" xfId="832"/>
    <cellStyle name="計算 2 7" xfId="432"/>
    <cellStyle name="計算 2 7 2" xfId="828"/>
    <cellStyle name="計算 2 8" xfId="619"/>
    <cellStyle name="計算 2 8 2" xfId="941"/>
    <cellStyle name="計算 2 9" xfId="662"/>
    <cellStyle name="計算 2 9 2" xfId="976"/>
    <cellStyle name="計算 3" xfId="189"/>
    <cellStyle name="計算 3 10" xfId="680"/>
    <cellStyle name="計算 3 2" xfId="268"/>
    <cellStyle name="計算 3 3" xfId="347"/>
    <cellStyle name="計算 3 3 2" xfId="640"/>
    <cellStyle name="計算 3 3 2 2" xfId="959"/>
    <cellStyle name="計算 3 3 3" xfId="665"/>
    <cellStyle name="計算 3 3 3 2" xfId="979"/>
    <cellStyle name="計算 3 3 4" xfId="387"/>
    <cellStyle name="計算 3 3 4 2" xfId="787"/>
    <cellStyle name="計算 3 3 5" xfId="409"/>
    <cellStyle name="計算 3 3 5 2" xfId="806"/>
    <cellStyle name="計算 3 3 6" xfId="669"/>
    <cellStyle name="計算 3 3 6 2" xfId="983"/>
    <cellStyle name="計算 3 3 7" xfId="653"/>
    <cellStyle name="計算 3 3 7 2" xfId="970"/>
    <cellStyle name="計算 3 3 8" xfId="679"/>
    <cellStyle name="計算 3 4" xfId="621"/>
    <cellStyle name="計算 3 4 2" xfId="943"/>
    <cellStyle name="計算 3 5" xfId="418"/>
    <cellStyle name="計算 3 5 2" xfId="814"/>
    <cellStyle name="計算 3 6" xfId="638"/>
    <cellStyle name="計算 3 6 2" xfId="958"/>
    <cellStyle name="計算 3 7" xfId="406"/>
    <cellStyle name="計算 3 7 2" xfId="803"/>
    <cellStyle name="計算 3 8" xfId="434"/>
    <cellStyle name="計算 3 8 2" xfId="830"/>
    <cellStyle name="計算 3 9" xfId="377"/>
    <cellStyle name="計算 3 9 2" xfId="779"/>
    <cellStyle name="警告文 2" xfId="122"/>
    <cellStyle name="警告文 2 2" xfId="269"/>
    <cellStyle name="警告文 2 3" xfId="308"/>
    <cellStyle name="桁蟻唇Ｆ [0.00]_永・マスタ" xfId="24"/>
    <cellStyle name="桁蟻唇Ｆ_永・マスタ" xfId="25"/>
    <cellStyle name="桁区切り" xfId="26" builtinId="6"/>
    <cellStyle name="桁区切り 2" xfId="27"/>
    <cellStyle name="桁区切り 2 2" xfId="191"/>
    <cellStyle name="桁区切り 2 2 2" xfId="585"/>
    <cellStyle name="桁区切り 2 2 3" xfId="544"/>
    <cellStyle name="桁区切り 2 3" xfId="290"/>
    <cellStyle name="桁区切り 3" xfId="28"/>
    <cellStyle name="桁区切り 3 2" xfId="124"/>
    <cellStyle name="桁区切り 3 2 2" xfId="192"/>
    <cellStyle name="桁区切り 3 3" xfId="193"/>
    <cellStyle name="桁区切り 3 4" xfId="223"/>
    <cellStyle name="桁区切り 3 4 2" xfId="286"/>
    <cellStyle name="桁区切り 3 4 2 2" xfId="354"/>
    <cellStyle name="桁区切り 3 4 2 2 2" xfId="498"/>
    <cellStyle name="桁区切り 3 4 2 2 2 2" xfId="891"/>
    <cellStyle name="桁区切り 3 4 2 2 3" xfId="700"/>
    <cellStyle name="桁区切り 3 4 2 2 3 2" xfId="1010"/>
    <cellStyle name="桁区切り 3 4 2 2 4" xfId="1068"/>
    <cellStyle name="桁区切り 3 4 2 2 5" xfId="758"/>
    <cellStyle name="桁区切り 3 4 2 3" xfId="587"/>
    <cellStyle name="桁区切り 3 4 2 3 2" xfId="722"/>
    <cellStyle name="桁区切り 3 4 2 3 2 2" xfId="1032"/>
    <cellStyle name="桁区切り 3 4 2 3 3" xfId="914"/>
    <cellStyle name="桁区切り 3 4 2 4" xfId="468"/>
    <cellStyle name="桁区切り 3 4 2 4 2" xfId="862"/>
    <cellStyle name="桁区切り 3 4 2 5" xfId="682"/>
    <cellStyle name="桁区切り 3 4 2 5 2" xfId="992"/>
    <cellStyle name="桁区切り 3 4 2 6" xfId="1050"/>
    <cellStyle name="桁区切り 3 4 2 7" xfId="740"/>
    <cellStyle name="桁区切り 3 4 3" xfId="353"/>
    <cellStyle name="桁区切り 3 4 3 2" xfId="497"/>
    <cellStyle name="桁区切り 3 4 3 2 2" xfId="890"/>
    <cellStyle name="桁区切り 3 4 3 3" xfId="699"/>
    <cellStyle name="桁区切り 3 4 3 3 2" xfId="1009"/>
    <cellStyle name="桁区切り 3 4 3 4" xfId="1067"/>
    <cellStyle name="桁区切り 3 4 3 5" xfId="757"/>
    <cellStyle name="桁区切り 3 4 4" xfId="586"/>
    <cellStyle name="桁区切り 3 4 4 2" xfId="721"/>
    <cellStyle name="桁区切り 3 4 4 2 2" xfId="1031"/>
    <cellStyle name="桁区切り 3 4 4 3" xfId="913"/>
    <cellStyle name="桁区切り 3 4 5" xfId="448"/>
    <cellStyle name="桁区切り 3 4 5 2" xfId="844"/>
    <cellStyle name="桁区切り 3 4 6" xfId="681"/>
    <cellStyle name="桁区切り 3 4 6 2" xfId="991"/>
    <cellStyle name="桁区切り 3 4 7" xfId="1049"/>
    <cellStyle name="桁区切り 3 4 8" xfId="739"/>
    <cellStyle name="桁区切り 3_HAA" xfId="194"/>
    <cellStyle name="桁区切り 4" xfId="123"/>
    <cellStyle name="桁区切り 4 2" xfId="195"/>
    <cellStyle name="桁区切り 4 3" xfId="578"/>
    <cellStyle name="桁区切り 4 4" xfId="543"/>
    <cellStyle name="桁区切り 5" xfId="190"/>
    <cellStyle name="桁区切り 6" xfId="372"/>
    <cellStyle name="桁区切り 6 2" xfId="516"/>
    <cellStyle name="桁区切り 6 2 2" xfId="909"/>
    <cellStyle name="桁区切り 6 3" xfId="717"/>
    <cellStyle name="桁区切り 6 3 2" xfId="1027"/>
    <cellStyle name="桁区切り 6 4" xfId="1085"/>
    <cellStyle name="桁区切り 6 5" xfId="775"/>
    <cellStyle name="桁区切り2" xfId="29"/>
    <cellStyle name="見出し 1 2" xfId="125"/>
    <cellStyle name="見出し 1 2 2" xfId="296"/>
    <cellStyle name="見出し 1 2 3" xfId="579"/>
    <cellStyle name="見出し 1 2 4" xfId="545"/>
    <cellStyle name="見出し 1 3" xfId="196"/>
    <cellStyle name="見出し 1 3 2" xfId="271"/>
    <cellStyle name="見出し 1 4" xfId="197"/>
    <cellStyle name="見出し 1 4 2" xfId="270"/>
    <cellStyle name="見出し 2 2" xfId="126"/>
    <cellStyle name="見出し 2 2 2" xfId="297"/>
    <cellStyle name="見出し 2 2 3" xfId="580"/>
    <cellStyle name="見出し 2 2 4" xfId="546"/>
    <cellStyle name="見出し 2 3" xfId="198"/>
    <cellStyle name="見出し 2 3 2" xfId="273"/>
    <cellStyle name="見出し 2 4" xfId="199"/>
    <cellStyle name="見出し 2 4 2" xfId="272"/>
    <cellStyle name="見出し 3 2" xfId="127"/>
    <cellStyle name="見出し 3 2 2" xfId="298"/>
    <cellStyle name="見出し 3 2 3" xfId="581"/>
    <cellStyle name="見出し 3 2 4" xfId="547"/>
    <cellStyle name="見出し 3 3" xfId="200"/>
    <cellStyle name="見出し 3 3 2" xfId="275"/>
    <cellStyle name="見出し 3 4" xfId="201"/>
    <cellStyle name="見出し 3 4 2" xfId="274"/>
    <cellStyle name="見出し 4 2" xfId="128"/>
    <cellStyle name="見出し 4 2 2" xfId="299"/>
    <cellStyle name="見出し 4 2 3" xfId="582"/>
    <cellStyle name="見出し 4 2 4" xfId="548"/>
    <cellStyle name="見出し 4 3" xfId="202"/>
    <cellStyle name="見出し 4 3 2" xfId="277"/>
    <cellStyle name="見出し 4 4" xfId="203"/>
    <cellStyle name="見出し 4 4 2" xfId="276"/>
    <cellStyle name="集計 2" xfId="129"/>
    <cellStyle name="集計 2 10" xfId="424"/>
    <cellStyle name="集計 2 10 2" xfId="820"/>
    <cellStyle name="集計 2 11" xfId="397"/>
    <cellStyle name="集計 2 11 2" xfId="795"/>
    <cellStyle name="集計 2 12" xfId="464"/>
    <cellStyle name="集計 2 2" xfId="311"/>
    <cellStyle name="集計 2 3" xfId="342"/>
    <cellStyle name="集計 2 3 2" xfId="496"/>
    <cellStyle name="集計 2 3 2 2" xfId="889"/>
    <cellStyle name="集計 2 3 3" xfId="451"/>
    <cellStyle name="集計 2 3 3 2" xfId="847"/>
    <cellStyle name="集計 2 3 4" xfId="388"/>
    <cellStyle name="集計 2 3 4 2" xfId="788"/>
    <cellStyle name="集計 2 3 5" xfId="439"/>
    <cellStyle name="集計 2 3 5 2" xfId="835"/>
    <cellStyle name="集計 2 3 6" xfId="440"/>
    <cellStyle name="集計 2 3 6 2" xfId="836"/>
    <cellStyle name="集計 2 3 7" xfId="431"/>
    <cellStyle name="集計 2 3 7 2" xfId="827"/>
    <cellStyle name="集計 2 3 8" xfId="390"/>
    <cellStyle name="集計 2 4" xfId="604"/>
    <cellStyle name="集計 2 4 2" xfId="646"/>
    <cellStyle name="集計 2 4 2 2" xfId="964"/>
    <cellStyle name="集計 2 4 3" xfId="452"/>
    <cellStyle name="集計 2 4 3 2" xfId="848"/>
    <cellStyle name="集計 2 4 4" xfId="426"/>
    <cellStyle name="集計 2 4 4 2" xfId="822"/>
    <cellStyle name="集計 2 4 5" xfId="412"/>
    <cellStyle name="集計 2 4 5 2" xfId="809"/>
    <cellStyle name="集計 2 4 6" xfId="453"/>
    <cellStyle name="集計 2 4 6 2" xfId="849"/>
    <cellStyle name="集計 2 4 7" xfId="677"/>
    <cellStyle name="集計 2 4 7 2" xfId="990"/>
    <cellStyle name="集計 2 4 8" xfId="457"/>
    <cellStyle name="集計 2 5" xfId="549"/>
    <cellStyle name="集計 2 5 2" xfId="467"/>
    <cellStyle name="集計 2 5 2 2" xfId="861"/>
    <cellStyle name="集計 2 5 3" xfId="447"/>
    <cellStyle name="集計 2 5 3 2" xfId="843"/>
    <cellStyle name="集計 2 5 4" xfId="668"/>
    <cellStyle name="集計 2 5 4 2" xfId="982"/>
    <cellStyle name="集計 2 5 5" xfId="480"/>
    <cellStyle name="集計 2 5 5 2" xfId="874"/>
    <cellStyle name="集計 2 5 6" xfId="676"/>
    <cellStyle name="集計 2 5 6 2" xfId="989"/>
    <cellStyle name="集計 2 5 7" xfId="611"/>
    <cellStyle name="集計 2 5 7 2" xfId="936"/>
    <cellStyle name="集計 2 5 8" xfId="614"/>
    <cellStyle name="集計 2 6" xfId="637"/>
    <cellStyle name="集計 2 6 2" xfId="957"/>
    <cellStyle name="集計 2 7" xfId="606"/>
    <cellStyle name="集計 2 7 2" xfId="932"/>
    <cellStyle name="集計 2 8" xfId="415"/>
    <cellStyle name="集計 2 8 2" xfId="811"/>
    <cellStyle name="集計 2 9" xfId="613"/>
    <cellStyle name="集計 2 9 2" xfId="938"/>
    <cellStyle name="集計 3" xfId="204"/>
    <cellStyle name="集計 3 10" xfId="413"/>
    <cellStyle name="集計 3 2" xfId="278"/>
    <cellStyle name="集計 3 3" xfId="348"/>
    <cellStyle name="集計 3 3 2" xfId="399"/>
    <cellStyle name="集計 3 3 2 2" xfId="797"/>
    <cellStyle name="集計 3 3 3" xfId="430"/>
    <cellStyle name="集計 3 3 3 2" xfId="826"/>
    <cellStyle name="集計 3 3 4" xfId="460"/>
    <cellStyle name="集計 3 3 4 2" xfId="855"/>
    <cellStyle name="集計 3 3 5" xfId="654"/>
    <cellStyle name="集計 3 3 5 2" xfId="971"/>
    <cellStyle name="集計 3 3 6" xfId="631"/>
    <cellStyle name="集計 3 3 6 2" xfId="952"/>
    <cellStyle name="集計 3 3 7" xfId="422"/>
    <cellStyle name="集計 3 3 7 2" xfId="818"/>
    <cellStyle name="集計 3 3 8" xfId="403"/>
    <cellStyle name="集計 3 4" xfId="393"/>
    <cellStyle name="集計 3 4 2" xfId="792"/>
    <cellStyle name="集計 3 5" xfId="618"/>
    <cellStyle name="集計 3 5 2" xfId="940"/>
    <cellStyle name="集計 3 6" xfId="450"/>
    <cellStyle name="集計 3 6 2" xfId="846"/>
    <cellStyle name="集計 3 7" xfId="673"/>
    <cellStyle name="集計 3 7 2" xfId="987"/>
    <cellStyle name="集計 3 8" xfId="449"/>
    <cellStyle name="集計 3 8 2" xfId="845"/>
    <cellStyle name="集計 3 9" xfId="475"/>
    <cellStyle name="集計 3 9 2" xfId="869"/>
    <cellStyle name="集計 4" xfId="205"/>
    <cellStyle name="集計 4 2" xfId="349"/>
    <cellStyle name="集計 4 2 2" xfId="608"/>
    <cellStyle name="集計 4 2 2 2" xfId="934"/>
    <cellStyle name="集計 4 2 3" xfId="445"/>
    <cellStyle name="集計 4 2 3 2" xfId="841"/>
    <cellStyle name="集計 4 2 4" xfId="442"/>
    <cellStyle name="集計 4 2 4 2" xfId="838"/>
    <cellStyle name="集計 4 2 5" xfId="423"/>
    <cellStyle name="集計 4 2 5 2" xfId="819"/>
    <cellStyle name="集計 4 2 6" xfId="459"/>
    <cellStyle name="集計 4 2 6 2" xfId="854"/>
    <cellStyle name="集計 4 2 7" xfId="455"/>
    <cellStyle name="集計 4 2 7 2" xfId="851"/>
    <cellStyle name="集計 4 2 8" xfId="609"/>
    <cellStyle name="集計 4 3" xfId="633"/>
    <cellStyle name="集計 4 3 2" xfId="954"/>
    <cellStyle name="集計 4 4" xfId="463"/>
    <cellStyle name="集計 4 4 2" xfId="858"/>
    <cellStyle name="集計 4 5" xfId="444"/>
    <cellStyle name="集計 4 5 2" xfId="840"/>
    <cellStyle name="集計 4 6" xfId="642"/>
    <cellStyle name="集計 4 6 2" xfId="961"/>
    <cellStyle name="集計 4 7" xfId="671"/>
    <cellStyle name="集計 4 7 2" xfId="985"/>
    <cellStyle name="集計 4 8" xfId="664"/>
    <cellStyle name="集計 4 8 2" xfId="978"/>
    <cellStyle name="集計 4 9" xfId="395"/>
    <cellStyle name="出力 2" xfId="130"/>
    <cellStyle name="出力 2 10" xfId="494"/>
    <cellStyle name="出力 2 2" xfId="304"/>
    <cellStyle name="出力 2 3" xfId="343"/>
    <cellStyle name="出力 2 3 2" xfId="607"/>
    <cellStyle name="出力 2 3 2 2" xfId="933"/>
    <cellStyle name="出力 2 3 3" xfId="484"/>
    <cellStyle name="出力 2 3 3 2" xfId="878"/>
    <cellStyle name="出力 2 3 4" xfId="401"/>
    <cellStyle name="出力 2 3 4 2" xfId="799"/>
    <cellStyle name="出力 2 3 5" xfId="398"/>
    <cellStyle name="出力 2 3 5 2" xfId="796"/>
    <cellStyle name="出力 2 3 6" xfId="420"/>
    <cellStyle name="出力 2 3 6 2" xfId="816"/>
    <cellStyle name="出力 2 3 7" xfId="385"/>
    <cellStyle name="出力 2 3 7 2" xfId="785"/>
    <cellStyle name="出力 2 3 8" xfId="635"/>
    <cellStyle name="出力 2 4" xfId="392"/>
    <cellStyle name="出力 2 4 2" xfId="791"/>
    <cellStyle name="出力 2 5" xfId="416"/>
    <cellStyle name="出力 2 5 2" xfId="812"/>
    <cellStyle name="出力 2 6" xfId="407"/>
    <cellStyle name="出力 2 6 2" xfId="804"/>
    <cellStyle name="出力 2 7" xfId="661"/>
    <cellStyle name="出力 2 7 2" xfId="975"/>
    <cellStyle name="出力 2 8" xfId="670"/>
    <cellStyle name="出力 2 8 2" xfId="984"/>
    <cellStyle name="出力 2 9" xfId="655"/>
    <cellStyle name="出力 2 9 2" xfId="972"/>
    <cellStyle name="出力 3" xfId="206"/>
    <cellStyle name="出力 3 10" xfId="678"/>
    <cellStyle name="出力 3 2" xfId="279"/>
    <cellStyle name="出力 3 3" xfId="350"/>
    <cellStyle name="出力 3 3 2" xfId="402"/>
    <cellStyle name="出力 3 3 2 2" xfId="800"/>
    <cellStyle name="出力 3 3 3" xfId="404"/>
    <cellStyle name="出力 3 3 3 2" xfId="801"/>
    <cellStyle name="出力 3 3 4" xfId="649"/>
    <cellStyle name="出力 3 3 4 2" xfId="966"/>
    <cellStyle name="出力 3 3 5" xfId="473"/>
    <cellStyle name="出力 3 3 5 2" xfId="867"/>
    <cellStyle name="出力 3 3 6" xfId="441"/>
    <cellStyle name="出力 3 3 6 2" xfId="837"/>
    <cellStyle name="出力 3 3 7" xfId="391"/>
    <cellStyle name="出力 3 3 7 2" xfId="790"/>
    <cellStyle name="出力 3 3 8" xfId="644"/>
    <cellStyle name="出力 3 4" xfId="627"/>
    <cellStyle name="出力 3 4 2" xfId="948"/>
    <cellStyle name="出力 3 5" xfId="612"/>
    <cellStyle name="出力 3 5 2" xfId="937"/>
    <cellStyle name="出力 3 6" xfId="499"/>
    <cellStyle name="出力 3 6 2" xfId="892"/>
    <cellStyle name="出力 3 7" xfId="446"/>
    <cellStyle name="出力 3 7 2" xfId="842"/>
    <cellStyle name="出力 3 8" xfId="648"/>
    <cellStyle name="出力 3 8 2" xfId="965"/>
    <cellStyle name="出力 3 9" xfId="645"/>
    <cellStyle name="出力 3 9 2" xfId="963"/>
    <cellStyle name="小タイトル" xfId="30"/>
    <cellStyle name="説明文 2" xfId="131"/>
    <cellStyle name="説明文 2 2" xfId="280"/>
    <cellStyle name="説明文 2 3" xfId="310"/>
    <cellStyle name="脱浦 [0.00]_永・マスタ" xfId="31"/>
    <cellStyle name="脱浦_永・マスタ" xfId="32"/>
    <cellStyle name="通貨 2" xfId="291"/>
    <cellStyle name="通貨 2 2" xfId="356"/>
    <cellStyle name="通貨 2 2 2" xfId="553"/>
    <cellStyle name="通貨 2 2 2 2" xfId="720"/>
    <cellStyle name="通貨 2 2 2 2 2" xfId="1030"/>
    <cellStyle name="通貨 2 2 2 3" xfId="912"/>
    <cellStyle name="通貨 2 2 3" xfId="500"/>
    <cellStyle name="通貨 2 2 3 2" xfId="893"/>
    <cellStyle name="通貨 2 2 4" xfId="701"/>
    <cellStyle name="通貨 2 2 4 2" xfId="1011"/>
    <cellStyle name="通貨 2 2 5" xfId="1069"/>
    <cellStyle name="通貨 2 2 6" xfId="759"/>
    <cellStyle name="通貨 2 3" xfId="588"/>
    <cellStyle name="通貨 2 3 2" xfId="723"/>
    <cellStyle name="通貨 2 3 2 2" xfId="1033"/>
    <cellStyle name="通貨 2 3 3" xfId="915"/>
    <cellStyle name="通貨 2 4" xfId="550"/>
    <cellStyle name="通貨 2 4 2" xfId="719"/>
    <cellStyle name="通貨 2 4 2 2" xfId="1029"/>
    <cellStyle name="通貨 2 4 3" xfId="911"/>
    <cellStyle name="通貨 2 5" xfId="470"/>
    <cellStyle name="通貨 2 5 2" xfId="864"/>
    <cellStyle name="通貨 2 6" xfId="683"/>
    <cellStyle name="通貨 2 6 2" xfId="993"/>
    <cellStyle name="通貨 2 7" xfId="1051"/>
    <cellStyle name="通貨 2 8" xfId="741"/>
    <cellStyle name="入力 2" xfId="132"/>
    <cellStyle name="入力 2 10" xfId="616"/>
    <cellStyle name="入力 2 2" xfId="303"/>
    <cellStyle name="入力 2 3" xfId="344"/>
    <cellStyle name="入力 2 3 2" xfId="428"/>
    <cellStyle name="入力 2 3 2 2" xfId="824"/>
    <cellStyle name="入力 2 3 3" xfId="435"/>
    <cellStyle name="入力 2 3 3 2" xfId="831"/>
    <cellStyle name="入力 2 3 4" xfId="632"/>
    <cellStyle name="入力 2 3 4 2" xfId="953"/>
    <cellStyle name="入力 2 3 5" xfId="421"/>
    <cellStyle name="入力 2 3 5 2" xfId="817"/>
    <cellStyle name="入力 2 3 6" xfId="469"/>
    <cellStyle name="入力 2 3 6 2" xfId="863"/>
    <cellStyle name="入力 2 3 7" xfId="378"/>
    <cellStyle name="入力 2 3 7 2" xfId="780"/>
    <cellStyle name="入力 2 3 8" xfId="380"/>
    <cellStyle name="入力 2 4" xfId="437"/>
    <cellStyle name="入力 2 4 2" xfId="833"/>
    <cellStyle name="入力 2 5" xfId="643"/>
    <cellStyle name="入力 2 5 2" xfId="962"/>
    <cellStyle name="入力 2 6" xfId="634"/>
    <cellStyle name="入力 2 6 2" xfId="955"/>
    <cellStyle name="入力 2 7" xfId="438"/>
    <cellStyle name="入力 2 7 2" xfId="834"/>
    <cellStyle name="入力 2 8" xfId="458"/>
    <cellStyle name="入力 2 8 2" xfId="853"/>
    <cellStyle name="入力 2 9" xfId="417"/>
    <cellStyle name="入力 2 9 2" xfId="813"/>
    <cellStyle name="入力 3" xfId="207"/>
    <cellStyle name="入力 3 10" xfId="615"/>
    <cellStyle name="入力 3 2" xfId="281"/>
    <cellStyle name="入力 3 3" xfId="351"/>
    <cellStyle name="入力 3 3 2" xfId="454"/>
    <cellStyle name="入力 3 3 2 2" xfId="850"/>
    <cellStyle name="入力 3 3 3" xfId="641"/>
    <cellStyle name="入力 3 3 3 2" xfId="960"/>
    <cellStyle name="入力 3 3 4" xfId="419"/>
    <cellStyle name="入力 3 3 4 2" xfId="815"/>
    <cellStyle name="入力 3 3 5" xfId="427"/>
    <cellStyle name="入力 3 3 5 2" xfId="823"/>
    <cellStyle name="入力 3 3 6" xfId="462"/>
    <cellStyle name="入力 3 3 6 2" xfId="857"/>
    <cellStyle name="入力 3 3 7" xfId="477"/>
    <cellStyle name="入力 3 3 7 2" xfId="871"/>
    <cellStyle name="入力 3 3 8" xfId="660"/>
    <cellStyle name="入力 3 4" xfId="495"/>
    <cellStyle name="入力 3 4 2" xfId="888"/>
    <cellStyle name="入力 3 5" xfId="629"/>
    <cellStyle name="入力 3 5 2" xfId="950"/>
    <cellStyle name="入力 3 6" xfId="650"/>
    <cellStyle name="入力 3 6 2" xfId="967"/>
    <cellStyle name="入力 3 7" xfId="376"/>
    <cellStyle name="入力 3 7 2" xfId="778"/>
    <cellStyle name="入力 3 8" xfId="636"/>
    <cellStyle name="入力 3 8 2" xfId="956"/>
    <cellStyle name="入力 3 9" xfId="623"/>
    <cellStyle name="入力 3 9 2" xfId="945"/>
    <cellStyle name="年月" xfId="33"/>
    <cellStyle name="年月 2" xfId="340"/>
    <cellStyle name="標準" xfId="0" builtinId="0"/>
    <cellStyle name="標準 10" xfId="34"/>
    <cellStyle name="標準 11" xfId="35"/>
    <cellStyle name="標準 12" xfId="36"/>
    <cellStyle name="標準 13" xfId="37"/>
    <cellStyle name="標準 14" xfId="208"/>
    <cellStyle name="標準 14 2" xfId="282"/>
    <cellStyle name="標準 15" xfId="38"/>
    <cellStyle name="標準 16" xfId="39"/>
    <cellStyle name="標準 17" xfId="209"/>
    <cellStyle name="標準 18" xfId="137"/>
    <cellStyle name="標準 19" xfId="40"/>
    <cellStyle name="標準 2" xfId="41"/>
    <cellStyle name="標準 2 2" xfId="42"/>
    <cellStyle name="標準 2 3" xfId="133"/>
    <cellStyle name="標準 2 3 2" xfId="210"/>
    <cellStyle name="標準 2 3 3" xfId="583"/>
    <cellStyle name="標準 2 3 4" xfId="551"/>
    <cellStyle name="標準 2 4" xfId="211"/>
    <cellStyle name="標準 2 5" xfId="292"/>
    <cellStyle name="標準 2 6" xfId="294"/>
    <cellStyle name="標準 2 6 2" xfId="358"/>
    <cellStyle name="標準 2 6 2 2" xfId="502"/>
    <cellStyle name="標準 2 6 2 2 2" xfId="895"/>
    <cellStyle name="標準 2 6 2 3" xfId="703"/>
    <cellStyle name="標準 2 6 2 3 2" xfId="1013"/>
    <cellStyle name="標準 2 6 2 4" xfId="1071"/>
    <cellStyle name="標準 2 6 2 5" xfId="761"/>
    <cellStyle name="標準 2 6 3" xfId="590"/>
    <cellStyle name="標準 2 6 3 2" xfId="725"/>
    <cellStyle name="標準 2 6 3 2 2" xfId="1035"/>
    <cellStyle name="標準 2 6 3 3" xfId="917"/>
    <cellStyle name="標準 2 6 4" xfId="472"/>
    <cellStyle name="標準 2 6 4 2" xfId="866"/>
    <cellStyle name="標準 2 6 5" xfId="685"/>
    <cellStyle name="標準 2 6 5 2" xfId="995"/>
    <cellStyle name="標準 2 6 6" xfId="1053"/>
    <cellStyle name="標準 2 6 7" xfId="743"/>
    <cellStyle name="標準 2_【付】貯蔵品" xfId="43"/>
    <cellStyle name="標準 20" xfId="44"/>
    <cellStyle name="標準 21" xfId="45"/>
    <cellStyle name="標準 22" xfId="293"/>
    <cellStyle name="標準 22 2" xfId="357"/>
    <cellStyle name="標準 22 2 2" xfId="501"/>
    <cellStyle name="標準 22 2 2 2" xfId="894"/>
    <cellStyle name="標準 22 2 3" xfId="702"/>
    <cellStyle name="標準 22 2 3 2" xfId="1012"/>
    <cellStyle name="標準 22 2 4" xfId="1070"/>
    <cellStyle name="標準 22 2 5" xfId="760"/>
    <cellStyle name="標準 22 3" xfId="589"/>
    <cellStyle name="標準 22 3 2" xfId="724"/>
    <cellStyle name="標準 22 3 2 2" xfId="1034"/>
    <cellStyle name="標準 22 3 3" xfId="916"/>
    <cellStyle name="標準 22 4" xfId="471"/>
    <cellStyle name="標準 22 4 2" xfId="865"/>
    <cellStyle name="標準 22 5" xfId="684"/>
    <cellStyle name="標準 22 5 2" xfId="994"/>
    <cellStyle name="標準 22 6" xfId="1052"/>
    <cellStyle name="標準 22 7" xfId="742"/>
    <cellStyle name="標準 23" xfId="46"/>
    <cellStyle name="標準 24" xfId="47"/>
    <cellStyle name="標準 25" xfId="373"/>
    <cellStyle name="標準 25 2" xfId="517"/>
    <cellStyle name="標準 25 2 2" xfId="910"/>
    <cellStyle name="標準 25 3" xfId="718"/>
    <cellStyle name="標準 25 3 2" xfId="1028"/>
    <cellStyle name="標準 25 4" xfId="1086"/>
    <cellStyle name="標準 25 5" xfId="776"/>
    <cellStyle name="標準 26" xfId="48"/>
    <cellStyle name="標準 28" xfId="49"/>
    <cellStyle name="標準 3" xfId="50"/>
    <cellStyle name="標準 3 2" xfId="51"/>
    <cellStyle name="標準 3 3" xfId="52"/>
    <cellStyle name="標準 3 4" xfId="134"/>
    <cellStyle name="標準 3 4 2" xfId="212"/>
    <cellStyle name="標準 3 4 3" xfId="584"/>
    <cellStyle name="標準 3 4 4" xfId="552"/>
    <cellStyle name="標準 3 5" xfId="213"/>
    <cellStyle name="標準 3_【付】貯蔵品" xfId="53"/>
    <cellStyle name="標準 4" xfId="54"/>
    <cellStyle name="標準 4 2" xfId="135"/>
    <cellStyle name="標準 4 2 2" xfId="214"/>
    <cellStyle name="標準 4 3" xfId="215"/>
    <cellStyle name="標準 4_CF資料" xfId="216"/>
    <cellStyle name="標準 5" xfId="55"/>
    <cellStyle name="標準 5 2" xfId="217"/>
    <cellStyle name="標準 6" xfId="56"/>
    <cellStyle name="標準 6 2" xfId="218"/>
    <cellStyle name="標準 7" xfId="64"/>
    <cellStyle name="標準 7 2" xfId="283"/>
    <cellStyle name="標準 7 3" xfId="219"/>
    <cellStyle name="標準 8" xfId="220"/>
    <cellStyle name="標準 8 2" xfId="284"/>
    <cellStyle name="標準 8 3" xfId="225"/>
    <cellStyle name="標準 9" xfId="57"/>
    <cellStyle name="標準_DATA BOOK期末2006.3追加ページ" xfId="58"/>
    <cellStyle name="標準_DATABOOK2002.9" xfId="59"/>
    <cellStyle name="標準_DATABOOK2003.3" xfId="60"/>
    <cellStyle name="標準_DATABOOK中間0509" xfId="61"/>
    <cellStyle name="標準_ｸﾞﾙｰﾌﾟｼｪｱ (2)" xfId="62"/>
    <cellStyle name="標準_主要ﾃﾞｰﾀ" xfId="336"/>
    <cellStyle name="未定義" xfId="63"/>
    <cellStyle name="良い 2" xfId="136"/>
    <cellStyle name="良い 2 2" xfId="300"/>
    <cellStyle name="良い 3" xfId="221"/>
    <cellStyle name="良い 3 2" xfId="285"/>
  </cellStyles>
  <dxfs count="4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0"/>
        </patternFill>
      </fill>
    </dxf>
    <dxf>
      <fill>
        <patternFill>
          <bgColor indexed="10"/>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ill>
        <patternFill>
          <bgColor indexed="14"/>
        </patternFill>
      </fill>
    </dxf>
    <dxf>
      <font>
        <condense val="0"/>
        <extend val="0"/>
        <color auto="1"/>
      </font>
      <fill>
        <patternFill>
          <f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E7FF"/>
      <rgbColor rgb="00FFFFE7"/>
      <rgbColor rgb="00D9ECFF"/>
      <rgbColor rgb="00E7FFE7"/>
      <rgbColor rgb="00FFEAD5"/>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DC3C4"/>
      <color rgb="FF1DB1E1"/>
      <color rgb="FFF3F4F4"/>
      <color rgb="FF004098"/>
      <color rgb="FF6DB280"/>
      <color rgb="FFC55862"/>
      <color rgb="FF386AAE"/>
      <color rgb="FFDCE6F1"/>
      <color rgb="FF00409A"/>
      <color rgb="FFFFEB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393560567391578E-2"/>
          <c:y val="0.14498985077290269"/>
          <c:w val="0.90777288627146802"/>
          <c:h val="0.62425999866164039"/>
        </c:manualLayout>
      </c:layout>
      <c:barChart>
        <c:barDir val="col"/>
        <c:grouping val="clustered"/>
        <c:varyColors val="0"/>
        <c:ser>
          <c:idx val="2"/>
          <c:order val="0"/>
          <c:tx>
            <c:strRef>
              <c:f>'Ⅱ-1-(1)_自動車業界関連指標'!$S$9</c:f>
              <c:strCache>
                <c:ptCount val="1"/>
                <c:pt idx="0">
                  <c:v>新車登録台数　No. of Registered New Vehicles</c:v>
                </c:pt>
              </c:strCache>
            </c:strRef>
          </c:tx>
          <c:spPr>
            <a:solidFill>
              <a:srgbClr val="004098"/>
            </a:solidFill>
            <a:ln w="12700">
              <a:noFill/>
              <a:prstDash val="solid"/>
            </a:ln>
          </c:spPr>
          <c:invertIfNegative val="0"/>
          <c:dPt>
            <c:idx val="0"/>
            <c:invertIfNegative val="0"/>
            <c:bubble3D val="0"/>
            <c:extLst>
              <c:ext xmlns:c16="http://schemas.microsoft.com/office/drawing/2014/chart" uri="{C3380CC4-5D6E-409C-BE32-E72D297353CC}">
                <c16:uniqueId val="{00000000-5DBA-4A09-94E7-48EAEB4DB626}"/>
              </c:ext>
            </c:extLst>
          </c:dPt>
          <c:cat>
            <c:numRef>
              <c:f>'Ⅱ-1-(1)_自動車業界関連指標'!$V$6:$AF$6</c:f>
              <c:numCache>
                <c:formatCode>#;[Red]\-#</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'Ⅱ-1-(1)_自動車業界関連指標'!$V$11:$AF$11</c:f>
              <c:numCache>
                <c:formatCode>#,##0,;[Red]\-#,##0,</c:formatCode>
                <c:ptCount val="11"/>
                <c:pt idx="0">
                  <c:v>5046411</c:v>
                </c:pt>
                <c:pt idx="1">
                  <c:v>4970198</c:v>
                </c:pt>
                <c:pt idx="2">
                  <c:v>5234095</c:v>
                </c:pt>
                <c:pt idx="3">
                  <c:v>5271987</c:v>
                </c:pt>
                <c:pt idx="4">
                  <c:v>5195134</c:v>
                </c:pt>
                <c:pt idx="5">
                  <c:v>4598527</c:v>
                </c:pt>
                <c:pt idx="6">
                  <c:v>4448288</c:v>
                </c:pt>
                <c:pt idx="7">
                  <c:v>4201262</c:v>
                </c:pt>
                <c:pt idx="8">
                  <c:v>4778861</c:v>
                </c:pt>
                <c:pt idx="9">
                  <c:v>4421234</c:v>
                </c:pt>
                <c:pt idx="10">
                  <c:v>4565503</c:v>
                </c:pt>
              </c:numCache>
            </c:numRef>
          </c:val>
          <c:extLst>
            <c:ext xmlns:c16="http://schemas.microsoft.com/office/drawing/2014/chart" uri="{C3380CC4-5D6E-409C-BE32-E72D297353CC}">
              <c16:uniqueId val="{00000000-84B2-466A-9D62-A5C16233250A}"/>
            </c:ext>
          </c:extLst>
        </c:ser>
        <c:ser>
          <c:idx val="3"/>
          <c:order val="1"/>
          <c:tx>
            <c:strRef>
              <c:f>'Ⅱ-1-(1)_自動車業界関連指標'!$S$13</c:f>
              <c:strCache>
                <c:ptCount val="1"/>
                <c:pt idx="0">
                  <c:v>中古車登録台数　No. of Registered Used Vehicles</c:v>
                </c:pt>
              </c:strCache>
            </c:strRef>
          </c:tx>
          <c:spPr>
            <a:solidFill>
              <a:srgbClr val="BDC3C4"/>
            </a:solidFill>
            <a:ln w="12700">
              <a:noFill/>
              <a:prstDash val="solid"/>
            </a:ln>
          </c:spPr>
          <c:invertIfNegative val="0"/>
          <c:cat>
            <c:numRef>
              <c:f>'Ⅱ-1-(1)_自動車業界関連指標'!$V$6:$AF$6</c:f>
              <c:numCache>
                <c:formatCode>#;[Red]\-#</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'Ⅱ-1-(1)_自動車業界関連指標'!$V$15:$AF$15</c:f>
              <c:numCache>
                <c:formatCode>#,##0,;[Red]\-#,##0,</c:formatCode>
                <c:ptCount val="11"/>
                <c:pt idx="0">
                  <c:v>6786814</c:v>
                </c:pt>
                <c:pt idx="1">
                  <c:v>6756122</c:v>
                </c:pt>
                <c:pt idx="2">
                  <c:v>6937518</c:v>
                </c:pt>
                <c:pt idx="3">
                  <c:v>6951398</c:v>
                </c:pt>
                <c:pt idx="4">
                  <c:v>6988158</c:v>
                </c:pt>
                <c:pt idx="5">
                  <c:v>6866867</c:v>
                </c:pt>
                <c:pt idx="6">
                  <c:v>6731025</c:v>
                </c:pt>
                <c:pt idx="7">
                  <c:v>6301651</c:v>
                </c:pt>
                <c:pt idx="8">
                  <c:v>6434916</c:v>
                </c:pt>
                <c:pt idx="9">
                  <c:v>6498127</c:v>
                </c:pt>
                <c:pt idx="10">
                  <c:v>6487868</c:v>
                </c:pt>
              </c:numCache>
            </c:numRef>
          </c:val>
          <c:extLst>
            <c:ext xmlns:c16="http://schemas.microsoft.com/office/drawing/2014/chart" uri="{C3380CC4-5D6E-409C-BE32-E72D297353CC}">
              <c16:uniqueId val="{00000001-84B2-466A-9D62-A5C16233250A}"/>
            </c:ext>
          </c:extLst>
        </c:ser>
        <c:dLbls>
          <c:showLegendKey val="0"/>
          <c:showVal val="0"/>
          <c:showCatName val="0"/>
          <c:showSerName val="0"/>
          <c:showPercent val="0"/>
          <c:showBubbleSize val="0"/>
        </c:dLbls>
        <c:gapWidth val="160"/>
        <c:axId val="551121184"/>
        <c:axId val="551121576"/>
      </c:barChart>
      <c:catAx>
        <c:axId val="551121184"/>
        <c:scaling>
          <c:orientation val="minMax"/>
        </c:scaling>
        <c:delete val="0"/>
        <c:axPos val="b"/>
        <c:numFmt formatCode="#;[Red]\-#" sourceLinked="1"/>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n-lt"/>
                <a:ea typeface="メイリオ" panose="020B0604030504040204" pitchFamily="50" charset="-128"/>
                <a:cs typeface="ＭＳ Ｐゴシック"/>
              </a:defRPr>
            </a:pPr>
            <a:endParaRPr lang="ja-JP"/>
          </a:p>
        </c:txPr>
        <c:crossAx val="551121576"/>
        <c:crossesAt val="0"/>
        <c:auto val="1"/>
        <c:lblAlgn val="ctr"/>
        <c:lblOffset val="100"/>
        <c:tickLblSkip val="1"/>
        <c:tickMarkSkip val="1"/>
        <c:noMultiLvlLbl val="0"/>
      </c:catAx>
      <c:valAx>
        <c:axId val="551121576"/>
        <c:scaling>
          <c:orientation val="minMax"/>
        </c:scaling>
        <c:delete val="0"/>
        <c:axPos val="l"/>
        <c:numFmt formatCode="#,##0,;[Red]\-#,##0," sourceLinked="0"/>
        <c:majorTickMark val="none"/>
        <c:minorTickMark val="none"/>
        <c:tickLblPos val="nextTo"/>
        <c:spPr>
          <a:ln w="3175" cap="flat">
            <a:solidFill>
              <a:srgbClr val="000000"/>
            </a:solidFill>
            <a:prstDash val="solid"/>
          </a:ln>
        </c:spPr>
        <c:txPr>
          <a:bodyPr rot="0" vert="horz"/>
          <a:lstStyle/>
          <a:p>
            <a:pPr>
              <a:defRPr sz="700" b="0" i="0" u="none" strike="noStrike" baseline="0">
                <a:solidFill>
                  <a:srgbClr val="000000"/>
                </a:solidFill>
                <a:latin typeface="メイリオ" panose="020B0604030504040204" pitchFamily="50" charset="-128"/>
                <a:ea typeface="メイリオ" panose="020B0604030504040204" pitchFamily="50" charset="-128"/>
                <a:cs typeface="Calibri" panose="020F0502020204030204" pitchFamily="34" charset="0"/>
              </a:defRPr>
            </a:pPr>
            <a:endParaRPr lang="ja-JP"/>
          </a:p>
        </c:txPr>
        <c:crossAx val="551121184"/>
        <c:crosses val="autoZero"/>
        <c:crossBetween val="between"/>
        <c:majorUnit val="2000000"/>
        <c:minorUnit val="100000"/>
      </c:valAx>
      <c:spPr>
        <a:noFill/>
      </c:spPr>
    </c:plotArea>
    <c:legend>
      <c:legendPos val="r"/>
      <c:layout>
        <c:manualLayout>
          <c:xMode val="edge"/>
          <c:yMode val="edge"/>
          <c:x val="0.65093703379017243"/>
          <c:y val="5.5173954319539852E-3"/>
          <c:w val="0.34781847173395652"/>
          <c:h val="0.13590037415535824"/>
        </c:manualLayout>
      </c:layout>
      <c:overlay val="0"/>
      <c:spPr>
        <a:solidFill>
          <a:srgbClr val="FFFFFF"/>
        </a:solidFill>
        <a:ln w="3175">
          <a:noFill/>
          <a:prstDash val="solid"/>
        </a:ln>
      </c:spPr>
      <c:txPr>
        <a:bodyPr/>
        <a:lstStyle/>
        <a:p>
          <a:pPr>
            <a:defRPr sz="600" b="0" i="0" u="none" strike="noStrike" baseline="0">
              <a:solidFill>
                <a:srgbClr val="000000"/>
              </a:solidFill>
              <a:latin typeface="メイリオ" panose="020B0604030504040204" pitchFamily="50" charset="-128"/>
              <a:ea typeface="メイリオ" panose="020B0604030504040204" pitchFamily="50" charset="-128"/>
              <a:cs typeface="ＭＳ Ｐゴシック"/>
            </a:defRPr>
          </a:pPr>
          <a:endParaRPr lang="ja-JP"/>
        </a:p>
      </c:txPr>
    </c:legend>
    <c:plotVisOnly val="0"/>
    <c:dispBlanksAs val="gap"/>
    <c:showDLblsOverMax val="0"/>
  </c:char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horizontalDpi="-4" verticalDpi="3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98351316026283E-2"/>
          <c:y val="0.17784281876767888"/>
          <c:w val="0.87272029905262627"/>
          <c:h val="0.72028085867693192"/>
        </c:manualLayout>
      </c:layout>
      <c:barChart>
        <c:barDir val="col"/>
        <c:grouping val="clustered"/>
        <c:varyColors val="0"/>
        <c:ser>
          <c:idx val="1"/>
          <c:order val="0"/>
          <c:tx>
            <c:strRef>
              <c:f>'Ⅲ-1-(2)_AAｾｸﾞﾒﾝﾄ売上推移'!$S$27</c:f>
              <c:strCache>
                <c:ptCount val="1"/>
                <c:pt idx="0">
                  <c:v>出品台数　No. of Consigned Vehicles</c:v>
                </c:pt>
              </c:strCache>
            </c:strRef>
          </c:tx>
          <c:spPr>
            <a:solidFill>
              <a:srgbClr val="386AAE"/>
            </a:solidFill>
            <a:ln w="12700">
              <a:noFill/>
              <a:prstDash val="solid"/>
            </a:ln>
          </c:spPr>
          <c:invertIfNegative val="0"/>
          <c:cat>
            <c:strRef>
              <c:f>'Ⅲ-1-(2)_AAｾｸﾞﾒﾝﾄ売上推移'!$T$25:$AD$26</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'Ⅲ-1-(2)_AAｾｸﾞﾒﾝﾄ売上推移'!$T$27:$AD$27</c:f>
              <c:numCache>
                <c:formatCode>#,##0_);[Red]\(#,##0\)</c:formatCode>
                <c:ptCount val="11"/>
                <c:pt idx="0">
                  <c:v>2394009</c:v>
                </c:pt>
                <c:pt idx="1">
                  <c:v>2353536</c:v>
                </c:pt>
                <c:pt idx="2">
                  <c:v>2700010</c:v>
                </c:pt>
                <c:pt idx="3">
                  <c:v>2930127</c:v>
                </c:pt>
                <c:pt idx="4">
                  <c:v>2924052</c:v>
                </c:pt>
                <c:pt idx="5">
                  <c:v>2661084</c:v>
                </c:pt>
                <c:pt idx="6">
                  <c:v>2731669</c:v>
                </c:pt>
                <c:pt idx="7">
                  <c:v>2958598</c:v>
                </c:pt>
                <c:pt idx="8">
                  <c:v>3084529</c:v>
                </c:pt>
                <c:pt idx="9">
                  <c:v>3202002</c:v>
                </c:pt>
                <c:pt idx="10">
                  <c:v>3504437</c:v>
                </c:pt>
              </c:numCache>
            </c:numRef>
          </c:val>
          <c:extLst>
            <c:ext xmlns:c16="http://schemas.microsoft.com/office/drawing/2014/chart" uri="{C3380CC4-5D6E-409C-BE32-E72D297353CC}">
              <c16:uniqueId val="{00000000-E8DC-4D15-9254-7F958E3F4EAB}"/>
            </c:ext>
          </c:extLst>
        </c:ser>
        <c:ser>
          <c:idx val="0"/>
          <c:order val="1"/>
          <c:tx>
            <c:strRef>
              <c:f>'Ⅲ-1-(2)_AAｾｸﾞﾒﾝﾄ売上推移'!$S$28</c:f>
              <c:strCache>
                <c:ptCount val="1"/>
                <c:pt idx="0">
                  <c:v>成約台数　No. of Contracted Vehicles</c:v>
                </c:pt>
              </c:strCache>
            </c:strRef>
          </c:tx>
          <c:spPr>
            <a:solidFill>
              <a:srgbClr val="BDC3C4"/>
            </a:solidFill>
            <a:ln w="12700">
              <a:noFill/>
              <a:prstDash val="solid"/>
            </a:ln>
          </c:spPr>
          <c:invertIfNegative val="0"/>
          <c:cat>
            <c:strRef>
              <c:f>'Ⅲ-1-(2)_AAｾｸﾞﾒﾝﾄ売上推移'!$T$25:$AD$26</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'Ⅲ-1-(2)_AAｾｸﾞﾒﾝﾄ売上推移'!$T$28:$AD$28</c:f>
              <c:numCache>
                <c:formatCode>#,##0_);[Red]\(#,##0\)</c:formatCode>
                <c:ptCount val="11"/>
                <c:pt idx="0">
                  <c:v>1562399</c:v>
                </c:pt>
                <c:pt idx="1">
                  <c:v>1508843</c:v>
                </c:pt>
                <c:pt idx="2">
                  <c:v>1709998</c:v>
                </c:pt>
                <c:pt idx="3">
                  <c:v>1825991</c:v>
                </c:pt>
                <c:pt idx="4">
                  <c:v>1772443</c:v>
                </c:pt>
                <c:pt idx="5">
                  <c:v>1680810</c:v>
                </c:pt>
                <c:pt idx="6">
                  <c:v>1787302</c:v>
                </c:pt>
                <c:pt idx="7">
                  <c:v>1863988</c:v>
                </c:pt>
                <c:pt idx="8">
                  <c:v>1986643</c:v>
                </c:pt>
                <c:pt idx="9">
                  <c:v>2145158</c:v>
                </c:pt>
                <c:pt idx="10">
                  <c:v>2347566</c:v>
                </c:pt>
              </c:numCache>
            </c:numRef>
          </c:val>
          <c:extLst>
            <c:ext xmlns:c16="http://schemas.microsoft.com/office/drawing/2014/chart" uri="{C3380CC4-5D6E-409C-BE32-E72D297353CC}">
              <c16:uniqueId val="{00000001-E8DC-4D15-9254-7F958E3F4EAB}"/>
            </c:ext>
          </c:extLst>
        </c:ser>
        <c:dLbls>
          <c:showLegendKey val="0"/>
          <c:showVal val="0"/>
          <c:showCatName val="0"/>
          <c:showSerName val="0"/>
          <c:showPercent val="0"/>
          <c:showBubbleSize val="0"/>
        </c:dLbls>
        <c:gapWidth val="150"/>
        <c:axId val="754769192"/>
        <c:axId val="754769584"/>
      </c:barChart>
      <c:lineChart>
        <c:grouping val="standard"/>
        <c:varyColors val="0"/>
        <c:ser>
          <c:idx val="2"/>
          <c:order val="2"/>
          <c:tx>
            <c:strRef>
              <c:f>'Ⅲ-1-(2)_AAｾｸﾞﾒﾝﾄ売上推移'!$S$29</c:f>
              <c:strCache>
                <c:ptCount val="1"/>
                <c:pt idx="0">
                  <c:v>成約率　Contract Completion Rate</c:v>
                </c:pt>
              </c:strCache>
            </c:strRef>
          </c:tx>
          <c:spPr>
            <a:ln w="12700">
              <a:solidFill>
                <a:srgbClr val="000000"/>
              </a:solidFill>
              <a:prstDash val="solid"/>
            </a:ln>
          </c:spPr>
          <c:marker>
            <c:symbol val="circle"/>
            <c:size val="7"/>
            <c:spPr>
              <a:solidFill>
                <a:srgbClr val="FFFFFF"/>
              </a:solidFill>
              <a:ln cap="rnd">
                <a:solidFill>
                  <a:srgbClr val="000000"/>
                </a:solidFill>
                <a:prstDash val="solid"/>
              </a:ln>
            </c:spPr>
          </c:marker>
          <c:cat>
            <c:strRef>
              <c:f>'Ⅲ-1-(2)_AAｾｸﾞﾒﾝﾄ売上推移'!$T$25:$AD$26</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'Ⅲ-1-(2)_AAｾｸﾞﾒﾝﾄ売上推移'!$T$29:$AD$29</c:f>
              <c:numCache>
                <c:formatCode>0.0;"▲ "0.0</c:formatCode>
                <c:ptCount val="11"/>
                <c:pt idx="0">
                  <c:v>65.262870774504194</c:v>
                </c:pt>
                <c:pt idx="1">
                  <c:v>64.109620587915373</c:v>
                </c:pt>
                <c:pt idx="2">
                  <c:v>63.333024692501141</c:v>
                </c:pt>
                <c:pt idx="3">
                  <c:v>62.317810797962004</c:v>
                </c:pt>
                <c:pt idx="4">
                  <c:v>60.615987677373731</c:v>
                </c:pt>
                <c:pt idx="5">
                  <c:v>63.162605915484072</c:v>
                </c:pt>
                <c:pt idx="6">
                  <c:v>65.428937400541571</c:v>
                </c:pt>
                <c:pt idx="7">
                  <c:v>63.002408573249902</c:v>
                </c:pt>
                <c:pt idx="8">
                  <c:v>64.406688995305288</c:v>
                </c:pt>
                <c:pt idx="9">
                  <c:v>66.994274207199126</c:v>
                </c:pt>
                <c:pt idx="10">
                  <c:v>66.988392144016288</c:v>
                </c:pt>
              </c:numCache>
            </c:numRef>
          </c:val>
          <c:smooth val="0"/>
          <c:extLst>
            <c:ext xmlns:c16="http://schemas.microsoft.com/office/drawing/2014/chart" uri="{C3380CC4-5D6E-409C-BE32-E72D297353CC}">
              <c16:uniqueId val="{00000002-E8DC-4D15-9254-7F958E3F4EAB}"/>
            </c:ext>
          </c:extLst>
        </c:ser>
        <c:dLbls>
          <c:showLegendKey val="0"/>
          <c:showVal val="0"/>
          <c:showCatName val="0"/>
          <c:showSerName val="0"/>
          <c:showPercent val="0"/>
          <c:showBubbleSize val="0"/>
        </c:dLbls>
        <c:marker val="1"/>
        <c:smooth val="0"/>
        <c:axId val="754769976"/>
        <c:axId val="756220552"/>
      </c:lineChart>
      <c:catAx>
        <c:axId val="7547691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a:pPr>
            <a:endParaRPr lang="ja-JP"/>
          </a:p>
        </c:txPr>
        <c:crossAx val="754769584"/>
        <c:crosses val="autoZero"/>
        <c:auto val="0"/>
        <c:lblAlgn val="ctr"/>
        <c:lblOffset val="100"/>
        <c:tickLblSkip val="1"/>
        <c:tickMarkSkip val="1"/>
        <c:noMultiLvlLbl val="0"/>
      </c:catAx>
      <c:valAx>
        <c:axId val="754769584"/>
        <c:scaling>
          <c:orientation val="minMax"/>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a:pPr>
            <a:endParaRPr lang="ja-JP"/>
          </a:p>
        </c:txPr>
        <c:crossAx val="754769192"/>
        <c:crosses val="autoZero"/>
        <c:crossBetween val="between"/>
        <c:majorUnit val="1000000"/>
      </c:valAx>
      <c:catAx>
        <c:axId val="754769976"/>
        <c:scaling>
          <c:orientation val="minMax"/>
        </c:scaling>
        <c:delete val="1"/>
        <c:axPos val="b"/>
        <c:numFmt formatCode="General" sourceLinked="1"/>
        <c:majorTickMark val="out"/>
        <c:minorTickMark val="none"/>
        <c:tickLblPos val="nextTo"/>
        <c:crossAx val="756220552"/>
        <c:crosses val="autoZero"/>
        <c:auto val="0"/>
        <c:lblAlgn val="ctr"/>
        <c:lblOffset val="100"/>
        <c:noMultiLvlLbl val="0"/>
      </c:catAx>
      <c:valAx>
        <c:axId val="756220552"/>
        <c:scaling>
          <c:orientation val="minMax"/>
          <c:max val="70"/>
          <c:min val="45"/>
        </c:scaling>
        <c:delete val="0"/>
        <c:axPos val="r"/>
        <c:numFmt formatCode="0.0;&quot;▲ &quot;0.0" sourceLinked="1"/>
        <c:majorTickMark val="in"/>
        <c:minorTickMark val="none"/>
        <c:tickLblPos val="nextTo"/>
        <c:spPr>
          <a:ln w="3175">
            <a:solidFill>
              <a:srgbClr val="000000"/>
            </a:solidFill>
            <a:prstDash val="solid"/>
          </a:ln>
        </c:spPr>
        <c:txPr>
          <a:bodyPr rot="0" vert="horz"/>
          <a:lstStyle/>
          <a:p>
            <a:pPr>
              <a:defRPr sz="800"/>
            </a:pPr>
            <a:endParaRPr lang="ja-JP"/>
          </a:p>
        </c:txPr>
        <c:crossAx val="754769976"/>
        <c:crosses val="max"/>
        <c:crossBetween val="between"/>
        <c:majorUnit val="5"/>
      </c:valAx>
      <c:spPr>
        <a:solidFill>
          <a:srgbClr val="FFFFFF"/>
        </a:solidFill>
        <a:ln w="12700">
          <a:noFill/>
          <a:prstDash val="solid"/>
        </a:ln>
      </c:spPr>
    </c:plotArea>
    <c:legend>
      <c:legendPos val="r"/>
      <c:layout>
        <c:manualLayout>
          <c:xMode val="edge"/>
          <c:yMode val="edge"/>
          <c:x val="0.25300701681276466"/>
          <c:y val="7.7095631200967737E-3"/>
          <c:w val="0.63881278646125572"/>
          <c:h val="0.17433411383688358"/>
        </c:manualLayout>
      </c:layout>
      <c:overlay val="0"/>
      <c:spPr>
        <a:solidFill>
          <a:srgbClr val="FFFFFF"/>
        </a:solidFill>
        <a:ln w="3175">
          <a:noFill/>
          <a:prstDash val="solid"/>
        </a:ln>
      </c:spPr>
      <c:txPr>
        <a:bodyPr/>
        <a:lstStyle/>
        <a:p>
          <a:pPr>
            <a:defRPr sz="700"/>
          </a:pPr>
          <a:endParaRPr lang="ja-JP"/>
        </a:p>
      </c:txPr>
    </c:legend>
    <c:plotVisOnly val="0"/>
    <c:dispBlanksAs val="gap"/>
    <c:showDLblsOverMax val="0"/>
  </c:chart>
  <c:spPr>
    <a:solidFill>
      <a:srgbClr val="FFFFFF"/>
    </a:solidFill>
    <a:ln w="12700">
      <a:noFill/>
      <a:prstDash val="solid"/>
    </a:ln>
  </c:spPr>
  <c:txPr>
    <a:bodyPr/>
    <a:lstStyle/>
    <a:p>
      <a:pPr>
        <a:defRPr sz="1100" b="0" i="0" u="none" strike="noStrike" baseline="0">
          <a:solidFill>
            <a:srgbClr val="000000"/>
          </a:solidFill>
          <a:latin typeface="+mn-lt"/>
          <a:ea typeface="+mn-ea"/>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86152861345261"/>
          <c:y val="0.18990304198016714"/>
          <c:w val="0.82002145546543403"/>
          <c:h val="0.64516375926757052"/>
        </c:manualLayout>
      </c:layout>
      <c:barChart>
        <c:barDir val="col"/>
        <c:grouping val="clustered"/>
        <c:varyColors val="0"/>
        <c:ser>
          <c:idx val="1"/>
          <c:order val="0"/>
          <c:tx>
            <c:strRef>
              <c:f>'Ⅲ-1-(2)_AAｾｸﾞﾒﾝﾄ売上推移'!$S$15</c:f>
              <c:strCache>
                <c:ptCount val="1"/>
                <c:pt idx="0">
                  <c:v>売上高
Net Sales</c:v>
                </c:pt>
              </c:strCache>
            </c:strRef>
          </c:tx>
          <c:spPr>
            <a:solidFill>
              <a:srgbClr val="386AAE"/>
            </a:solidFill>
            <a:ln w="12700">
              <a:noFill/>
              <a:prstDash val="solid"/>
            </a:ln>
          </c:spPr>
          <c:invertIfNegative val="0"/>
          <c:cat>
            <c:strRef>
              <c:f>'Ⅲ-1-(2)_AAｾｸﾞﾒﾝﾄ売上推移'!$T$12:$AD$13</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'Ⅲ-1-(2)_AAｾｸﾞﾒﾝﾄ売上推移'!$T$15:$AD$15</c:f>
              <c:numCache>
                <c:formatCode>#,##0,,;[Red]\-#,##0,,</c:formatCode>
                <c:ptCount val="11"/>
                <c:pt idx="0">
                  <c:v>53150000000</c:v>
                </c:pt>
                <c:pt idx="1">
                  <c:v>53311000000</c:v>
                </c:pt>
                <c:pt idx="2">
                  <c:v>60025000000</c:v>
                </c:pt>
                <c:pt idx="3">
                  <c:v>65141000000</c:v>
                </c:pt>
                <c:pt idx="4">
                  <c:v>63772000000</c:v>
                </c:pt>
                <c:pt idx="5">
                  <c:v>61429000000</c:v>
                </c:pt>
                <c:pt idx="6">
                  <c:v>65185000000</c:v>
                </c:pt>
                <c:pt idx="7">
                  <c:v>69594000000</c:v>
                </c:pt>
                <c:pt idx="8">
                  <c:v>75374000000</c:v>
                </c:pt>
                <c:pt idx="9">
                  <c:v>82142000000</c:v>
                </c:pt>
                <c:pt idx="10">
                  <c:v>90024000000</c:v>
                </c:pt>
              </c:numCache>
            </c:numRef>
          </c:val>
          <c:extLst>
            <c:ext xmlns:c16="http://schemas.microsoft.com/office/drawing/2014/chart" uri="{C3380CC4-5D6E-409C-BE32-E72D297353CC}">
              <c16:uniqueId val="{00000000-3762-4159-B883-6E80B6B207F5}"/>
            </c:ext>
          </c:extLst>
        </c:ser>
        <c:dLbls>
          <c:showLegendKey val="0"/>
          <c:showVal val="0"/>
          <c:showCatName val="0"/>
          <c:showSerName val="0"/>
          <c:showPercent val="0"/>
          <c:showBubbleSize val="0"/>
        </c:dLbls>
        <c:gapWidth val="150"/>
        <c:axId val="756172632"/>
        <c:axId val="756173024"/>
      </c:barChart>
      <c:lineChart>
        <c:grouping val="standard"/>
        <c:varyColors val="0"/>
        <c:ser>
          <c:idx val="0"/>
          <c:order val="1"/>
          <c:tx>
            <c:strRef>
              <c:f>'Ⅲ-1-(2)_AAｾｸﾞﾒﾝﾄ売上推移'!$S$17</c:f>
              <c:strCache>
                <c:ptCount val="1"/>
                <c:pt idx="0">
                  <c:v>営業利益率
Operating Margin</c:v>
                </c:pt>
              </c:strCache>
            </c:strRef>
          </c:tx>
          <c:spPr>
            <a:ln w="12700">
              <a:solidFill>
                <a:srgbClr val="000000"/>
              </a:solidFill>
              <a:prstDash val="solid"/>
            </a:ln>
          </c:spPr>
          <c:marker>
            <c:symbol val="circle"/>
            <c:size val="7"/>
            <c:spPr>
              <a:solidFill>
                <a:srgbClr val="FFFFFF"/>
              </a:solidFill>
              <a:ln cap="rnd">
                <a:solidFill>
                  <a:srgbClr val="000000"/>
                </a:solidFill>
                <a:prstDash val="solid"/>
              </a:ln>
            </c:spPr>
          </c:marker>
          <c:cat>
            <c:strRef>
              <c:f>'Ⅲ-1-(2)_AAｾｸﾞﾒﾝﾄ売上推移'!$T$12:$AD$13</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'Ⅲ-1-(2)_AAｾｸﾞﾒﾝﾄ売上推移'!$T$17:$AD$17</c:f>
              <c:numCache>
                <c:formatCode>0.0;"▲ "0.0</c:formatCode>
                <c:ptCount val="11"/>
                <c:pt idx="0">
                  <c:v>63.142188412860925</c:v>
                </c:pt>
                <c:pt idx="1">
                  <c:v>59.780718988552181</c:v>
                </c:pt>
                <c:pt idx="2">
                  <c:v>58.527660344498081</c:v>
                </c:pt>
                <c:pt idx="3">
                  <c:v>55.761545569986481</c:v>
                </c:pt>
                <c:pt idx="4">
                  <c:v>55.566288088918249</c:v>
                </c:pt>
                <c:pt idx="5">
                  <c:v>57.730874648005461</c:v>
                </c:pt>
                <c:pt idx="6">
                  <c:v>61.697650519360813</c:v>
                </c:pt>
                <c:pt idx="7">
                  <c:v>60.734671629628579</c:v>
                </c:pt>
                <c:pt idx="8">
                  <c:v>62.905256924342304</c:v>
                </c:pt>
                <c:pt idx="9">
                  <c:v>64.856450367876789</c:v>
                </c:pt>
                <c:pt idx="10">
                  <c:v>65.076150511454472</c:v>
                </c:pt>
              </c:numCache>
            </c:numRef>
          </c:val>
          <c:smooth val="0"/>
          <c:extLst>
            <c:ext xmlns:c16="http://schemas.microsoft.com/office/drawing/2014/chart" uri="{C3380CC4-5D6E-409C-BE32-E72D297353CC}">
              <c16:uniqueId val="{00000001-3762-4159-B883-6E80B6B207F5}"/>
            </c:ext>
          </c:extLst>
        </c:ser>
        <c:dLbls>
          <c:showLegendKey val="0"/>
          <c:showVal val="0"/>
          <c:showCatName val="0"/>
          <c:showSerName val="0"/>
          <c:showPercent val="0"/>
          <c:showBubbleSize val="0"/>
        </c:dLbls>
        <c:marker val="1"/>
        <c:smooth val="0"/>
        <c:axId val="756173416"/>
        <c:axId val="754768408"/>
      </c:lineChart>
      <c:catAx>
        <c:axId val="7561726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a:pPr>
            <a:endParaRPr lang="ja-JP"/>
          </a:p>
        </c:txPr>
        <c:crossAx val="756173024"/>
        <c:crosses val="autoZero"/>
        <c:auto val="0"/>
        <c:lblAlgn val="ctr"/>
        <c:lblOffset val="100"/>
        <c:tickLblSkip val="1"/>
        <c:tickMarkSkip val="1"/>
        <c:noMultiLvlLbl val="0"/>
      </c:catAx>
      <c:valAx>
        <c:axId val="756173024"/>
        <c:scaling>
          <c:orientation val="minMax"/>
        </c:scaling>
        <c:delete val="0"/>
        <c:axPos val="l"/>
        <c:numFmt formatCode="#,##0,,;[Red]\-#,##0,," sourceLinked="0"/>
        <c:majorTickMark val="in"/>
        <c:minorTickMark val="none"/>
        <c:tickLblPos val="nextTo"/>
        <c:spPr>
          <a:ln w="3175">
            <a:solidFill>
              <a:srgbClr val="000000"/>
            </a:solidFill>
            <a:prstDash val="solid"/>
          </a:ln>
        </c:spPr>
        <c:txPr>
          <a:bodyPr rot="0" vert="horz"/>
          <a:lstStyle/>
          <a:p>
            <a:pPr>
              <a:defRPr sz="800"/>
            </a:pPr>
            <a:endParaRPr lang="ja-JP"/>
          </a:p>
        </c:txPr>
        <c:crossAx val="756172632"/>
        <c:crosses val="autoZero"/>
        <c:crossBetween val="between"/>
        <c:majorUnit val="20000000000"/>
      </c:valAx>
      <c:catAx>
        <c:axId val="756173416"/>
        <c:scaling>
          <c:orientation val="minMax"/>
        </c:scaling>
        <c:delete val="1"/>
        <c:axPos val="b"/>
        <c:numFmt formatCode="General" sourceLinked="1"/>
        <c:majorTickMark val="out"/>
        <c:minorTickMark val="none"/>
        <c:tickLblPos val="nextTo"/>
        <c:crossAx val="754768408"/>
        <c:crosses val="autoZero"/>
        <c:auto val="0"/>
        <c:lblAlgn val="ctr"/>
        <c:lblOffset val="100"/>
        <c:noMultiLvlLbl val="0"/>
      </c:catAx>
      <c:valAx>
        <c:axId val="754768408"/>
        <c:scaling>
          <c:orientation val="minMax"/>
          <c:min val="0"/>
        </c:scaling>
        <c:delete val="0"/>
        <c:axPos val="r"/>
        <c:numFmt formatCode="0.0;&quot;▲ &quot;0.0" sourceLinked="1"/>
        <c:majorTickMark val="in"/>
        <c:minorTickMark val="none"/>
        <c:tickLblPos val="nextTo"/>
        <c:spPr>
          <a:ln w="3175">
            <a:solidFill>
              <a:srgbClr val="000000"/>
            </a:solidFill>
            <a:prstDash val="solid"/>
          </a:ln>
        </c:spPr>
        <c:txPr>
          <a:bodyPr rot="0" vert="horz"/>
          <a:lstStyle/>
          <a:p>
            <a:pPr>
              <a:defRPr sz="800"/>
            </a:pPr>
            <a:endParaRPr lang="ja-JP"/>
          </a:p>
        </c:txPr>
        <c:crossAx val="756173416"/>
        <c:crosses val="max"/>
        <c:crossBetween val="between"/>
        <c:majorUnit val="20"/>
      </c:valAx>
      <c:spPr>
        <a:solidFill>
          <a:srgbClr val="FFFFFF"/>
        </a:solidFill>
        <a:ln w="12700">
          <a:noFill/>
          <a:prstDash val="solid"/>
        </a:ln>
      </c:spPr>
    </c:plotArea>
    <c:legend>
      <c:legendPos val="r"/>
      <c:layout>
        <c:manualLayout>
          <c:xMode val="edge"/>
          <c:yMode val="edge"/>
          <c:x val="0.46972960923422574"/>
          <c:y val="3.4032291241679724E-2"/>
          <c:w val="0.3809145841283974"/>
          <c:h val="0.25390040938909081"/>
        </c:manualLayout>
      </c:layout>
      <c:overlay val="0"/>
      <c:spPr>
        <a:solidFill>
          <a:srgbClr val="FFFFFF"/>
        </a:solidFill>
        <a:ln w="3175">
          <a:noFill/>
          <a:prstDash val="solid"/>
        </a:ln>
      </c:spPr>
      <c:txPr>
        <a:bodyPr/>
        <a:lstStyle/>
        <a:p>
          <a:pPr>
            <a:defRPr sz="700"/>
          </a:pPr>
          <a:endParaRPr lang="ja-JP"/>
        </a:p>
      </c:txPr>
    </c:legend>
    <c:plotVisOnly val="0"/>
    <c:dispBlanksAs val="gap"/>
    <c:showDLblsOverMax val="0"/>
  </c:chart>
  <c:spPr>
    <a:solidFill>
      <a:srgbClr val="FFFFFF"/>
    </a:solidFill>
    <a:ln w="12700">
      <a:noFill/>
      <a:prstDash val="solid"/>
    </a:ln>
  </c:spPr>
  <c:txPr>
    <a:bodyPr/>
    <a:lstStyle/>
    <a:p>
      <a:pPr>
        <a:defRPr sz="1100" b="0" i="0" u="none" strike="noStrike" baseline="0">
          <a:solidFill>
            <a:srgbClr val="000000"/>
          </a:solidFill>
          <a:latin typeface="+mn-lt"/>
          <a:ea typeface="+mn-ea"/>
          <a:cs typeface="Calibri" panose="020F0502020204030204" pitchFamily="34" charset="0"/>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452914176856187E-2"/>
          <c:y val="0.23415013351159081"/>
          <c:w val="0.74799714542507734"/>
          <c:h val="0.62910733456008472"/>
        </c:manualLayout>
      </c:layout>
      <c:barChart>
        <c:barDir val="col"/>
        <c:grouping val="stacked"/>
        <c:varyColors val="0"/>
        <c:ser>
          <c:idx val="0"/>
          <c:order val="0"/>
          <c:tx>
            <c:strRef>
              <c:f>'Ⅲ-1-(3)_AAｾｸﾞﾒﾝﾄ売上内訳'!$S$19</c:f>
              <c:strCache>
                <c:ptCount val="1"/>
                <c:pt idx="0">
                  <c:v>出品手数料
Consignment Fees</c:v>
                </c:pt>
              </c:strCache>
            </c:strRef>
          </c:tx>
          <c:spPr>
            <a:solidFill>
              <a:srgbClr val="004098"/>
            </a:solidFill>
            <a:ln w="12700">
              <a:noFill/>
              <a:prstDash val="solid"/>
            </a:ln>
          </c:spPr>
          <c:invertIfNegative val="0"/>
          <c:cat>
            <c:strRef>
              <c:f>'Ⅲ-1-(3)_AAｾｸﾞﾒﾝﾄ売上内訳'!$T$16:$AD$17</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'Ⅲ-1-(3)_AAｾｸﾞﾒﾝﾄ売上内訳'!$T$19:$AD$19</c:f>
              <c:numCache>
                <c:formatCode>#,##0,,;[Red]\-#,##0,,</c:formatCode>
                <c:ptCount val="11"/>
                <c:pt idx="0">
                  <c:v>12780000000</c:v>
                </c:pt>
                <c:pt idx="1">
                  <c:v>12432000000</c:v>
                </c:pt>
                <c:pt idx="2">
                  <c:v>14153000000</c:v>
                </c:pt>
                <c:pt idx="3">
                  <c:v>15269000000</c:v>
                </c:pt>
                <c:pt idx="4">
                  <c:v>15047000000</c:v>
                </c:pt>
                <c:pt idx="5">
                  <c:v>14151000000</c:v>
                </c:pt>
                <c:pt idx="6">
                  <c:v>15198000000</c:v>
                </c:pt>
                <c:pt idx="7">
                  <c:v>16570000000</c:v>
                </c:pt>
                <c:pt idx="8">
                  <c:v>17501000000</c:v>
                </c:pt>
                <c:pt idx="9">
                  <c:v>18416000000</c:v>
                </c:pt>
                <c:pt idx="10">
                  <c:v>19877000000</c:v>
                </c:pt>
              </c:numCache>
            </c:numRef>
          </c:val>
          <c:extLst>
            <c:ext xmlns:c16="http://schemas.microsoft.com/office/drawing/2014/chart" uri="{C3380CC4-5D6E-409C-BE32-E72D297353CC}">
              <c16:uniqueId val="{00000000-D752-4CB0-97B1-A8D2DAB13696}"/>
            </c:ext>
          </c:extLst>
        </c:ser>
        <c:ser>
          <c:idx val="1"/>
          <c:order val="1"/>
          <c:tx>
            <c:strRef>
              <c:f>'Ⅲ-1-(3)_AAｾｸﾞﾒﾝﾄ売上内訳'!$S$20</c:f>
              <c:strCache>
                <c:ptCount val="1"/>
                <c:pt idx="0">
                  <c:v>成約手数料
Contract Completion Fees</c:v>
                </c:pt>
              </c:strCache>
            </c:strRef>
          </c:tx>
          <c:spPr>
            <a:solidFill>
              <a:srgbClr val="1DB1E1"/>
            </a:solidFill>
            <a:ln w="12700">
              <a:noFill/>
              <a:prstDash val="solid"/>
            </a:ln>
          </c:spPr>
          <c:invertIfNegative val="0"/>
          <c:cat>
            <c:strRef>
              <c:f>'Ⅲ-1-(3)_AAｾｸﾞﾒﾝﾄ売上内訳'!$T$16:$AD$17</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'Ⅲ-1-(3)_AAｾｸﾞﾒﾝﾄ売上内訳'!$T$20:$AD$20</c:f>
              <c:numCache>
                <c:formatCode>#,##0,,;[Red]\-#,##0,,</c:formatCode>
                <c:ptCount val="11"/>
                <c:pt idx="0">
                  <c:v>12335000000</c:v>
                </c:pt>
                <c:pt idx="1">
                  <c:v>12073000000</c:v>
                </c:pt>
                <c:pt idx="2">
                  <c:v>13858000000</c:v>
                </c:pt>
                <c:pt idx="3">
                  <c:v>14898000000</c:v>
                </c:pt>
                <c:pt idx="4">
                  <c:v>14499000000</c:v>
                </c:pt>
                <c:pt idx="5">
                  <c:v>14088000000</c:v>
                </c:pt>
                <c:pt idx="6">
                  <c:v>15088000000</c:v>
                </c:pt>
                <c:pt idx="7">
                  <c:v>15721000000</c:v>
                </c:pt>
                <c:pt idx="8">
                  <c:v>17436000000</c:v>
                </c:pt>
                <c:pt idx="9">
                  <c:v>18675000000</c:v>
                </c:pt>
                <c:pt idx="10">
                  <c:v>19970000000</c:v>
                </c:pt>
              </c:numCache>
            </c:numRef>
          </c:val>
          <c:extLst>
            <c:ext xmlns:c16="http://schemas.microsoft.com/office/drawing/2014/chart" uri="{C3380CC4-5D6E-409C-BE32-E72D297353CC}">
              <c16:uniqueId val="{00000001-D752-4CB0-97B1-A8D2DAB13696}"/>
            </c:ext>
          </c:extLst>
        </c:ser>
        <c:ser>
          <c:idx val="5"/>
          <c:order val="2"/>
          <c:tx>
            <c:strRef>
              <c:f>'Ⅲ-1-(3)_AAｾｸﾞﾒﾝﾄ売上内訳'!$S$21</c:f>
              <c:strCache>
                <c:ptCount val="1"/>
                <c:pt idx="0">
                  <c:v>落札手数料
Successful Bid Fees</c:v>
                </c:pt>
              </c:strCache>
            </c:strRef>
          </c:tx>
          <c:spPr>
            <a:solidFill>
              <a:srgbClr val="BDC3C4"/>
            </a:solidFill>
            <a:ln w="12700">
              <a:noFill/>
              <a:prstDash val="solid"/>
            </a:ln>
          </c:spPr>
          <c:invertIfNegative val="0"/>
          <c:cat>
            <c:strRef>
              <c:f>'Ⅲ-1-(3)_AAｾｸﾞﾒﾝﾄ売上内訳'!$T$16:$AD$17</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'Ⅲ-1-(3)_AAｾｸﾞﾒﾝﾄ売上内訳'!$T$21:$AD$21</c:f>
              <c:numCache>
                <c:formatCode>#,##0,,;[Red]\-#,##0,,</c:formatCode>
                <c:ptCount val="11"/>
                <c:pt idx="0">
                  <c:v>18168000000</c:v>
                </c:pt>
                <c:pt idx="1">
                  <c:v>17986000000</c:v>
                </c:pt>
                <c:pt idx="2">
                  <c:v>20192000000</c:v>
                </c:pt>
                <c:pt idx="3">
                  <c:v>22313000000</c:v>
                </c:pt>
                <c:pt idx="4">
                  <c:v>21758000000</c:v>
                </c:pt>
                <c:pt idx="5">
                  <c:v>21573000000</c:v>
                </c:pt>
                <c:pt idx="6">
                  <c:v>23076000000</c:v>
                </c:pt>
                <c:pt idx="7">
                  <c:v>23985000000</c:v>
                </c:pt>
                <c:pt idx="8">
                  <c:v>26501000000</c:v>
                </c:pt>
                <c:pt idx="9">
                  <c:v>30511000000</c:v>
                </c:pt>
                <c:pt idx="10">
                  <c:v>34856000000</c:v>
                </c:pt>
              </c:numCache>
            </c:numRef>
          </c:val>
          <c:extLst>
            <c:ext xmlns:c16="http://schemas.microsoft.com/office/drawing/2014/chart" uri="{C3380CC4-5D6E-409C-BE32-E72D297353CC}">
              <c16:uniqueId val="{00000002-D752-4CB0-97B1-A8D2DAB13696}"/>
            </c:ext>
          </c:extLst>
        </c:ser>
        <c:ser>
          <c:idx val="2"/>
          <c:order val="3"/>
          <c:tx>
            <c:strRef>
              <c:f>'Ⅲ-1-(3)_AAｾｸﾞﾒﾝﾄ売上内訳'!$S$22</c:f>
              <c:strCache>
                <c:ptCount val="1"/>
                <c:pt idx="0">
                  <c:v>バイクオークション手数料
Motorcycle Auction Fees</c:v>
                </c:pt>
              </c:strCache>
            </c:strRef>
          </c:tx>
          <c:spPr>
            <a:solidFill>
              <a:srgbClr val="1A2232"/>
            </a:solidFill>
            <a:ln w="12700">
              <a:noFill/>
              <a:prstDash val="solid"/>
            </a:ln>
          </c:spPr>
          <c:invertIfNegative val="0"/>
          <c:cat>
            <c:strRef>
              <c:f>'Ⅲ-1-(3)_AAｾｸﾞﾒﾝﾄ売上内訳'!$T$16:$AD$17</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'Ⅲ-1-(3)_AAｾｸﾞﾒﾝﾄ売上内訳'!$T$22:$AD$22</c:f>
              <c:numCache>
                <c:formatCode>#,##0,,;[Red]\-#,##0,,</c:formatCode>
                <c:ptCount val="11"/>
                <c:pt idx="0">
                  <c:v>183000000</c:v>
                </c:pt>
                <c:pt idx="1">
                  <c:v>704000000</c:v>
                </c:pt>
                <c:pt idx="2">
                  <c:v>730000000</c:v>
                </c:pt>
                <c:pt idx="3">
                  <c:v>784000000</c:v>
                </c:pt>
                <c:pt idx="4">
                  <c:v>798000000</c:v>
                </c:pt>
                <c:pt idx="5">
                  <c:v>863000000</c:v>
                </c:pt>
                <c:pt idx="6">
                  <c:v>888000000</c:v>
                </c:pt>
                <c:pt idx="7">
                  <c:v>1014000000</c:v>
                </c:pt>
                <c:pt idx="8">
                  <c:v>1098000000</c:v>
                </c:pt>
                <c:pt idx="9">
                  <c:v>1172000000</c:v>
                </c:pt>
                <c:pt idx="10">
                  <c:v>1297000000</c:v>
                </c:pt>
              </c:numCache>
            </c:numRef>
          </c:val>
          <c:extLst>
            <c:ext xmlns:c16="http://schemas.microsoft.com/office/drawing/2014/chart" uri="{C3380CC4-5D6E-409C-BE32-E72D297353CC}">
              <c16:uniqueId val="{00000003-D752-4CB0-97B1-A8D2DAB13696}"/>
            </c:ext>
          </c:extLst>
        </c:ser>
        <c:ser>
          <c:idx val="3"/>
          <c:order val="4"/>
          <c:tx>
            <c:strRef>
              <c:f>'Ⅲ-1-(3)_AAｾｸﾞﾒﾝﾄ売上内訳'!$S$23</c:f>
              <c:strCache>
                <c:ptCount val="1"/>
                <c:pt idx="0">
                  <c:v>商品売上高
Net Sales of Goods</c:v>
                </c:pt>
              </c:strCache>
            </c:strRef>
          </c:tx>
          <c:spPr>
            <a:solidFill>
              <a:srgbClr val="9999FF"/>
            </a:solidFill>
            <a:ln w="12700">
              <a:noFill/>
              <a:prstDash val="solid"/>
            </a:ln>
          </c:spPr>
          <c:invertIfNegative val="0"/>
          <c:cat>
            <c:strRef>
              <c:f>'Ⅲ-1-(3)_AAｾｸﾞﾒﾝﾄ売上内訳'!$T$16:$AD$17</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'Ⅲ-1-(3)_AAｾｸﾞﾒﾝﾄ売上内訳'!$T$23:$AD$23</c:f>
              <c:numCache>
                <c:formatCode>#,##0,,;[Red]\-#,##0,,</c:formatCode>
                <c:ptCount val="11"/>
                <c:pt idx="0">
                  <c:v>1479000000</c:v>
                </c:pt>
                <c:pt idx="1">
                  <c:v>1494000000</c:v>
                </c:pt>
                <c:pt idx="2">
                  <c:v>1907000000</c:v>
                </c:pt>
                <c:pt idx="3">
                  <c:v>2408000000</c:v>
                </c:pt>
                <c:pt idx="4">
                  <c:v>2232000000</c:v>
                </c:pt>
                <c:pt idx="5">
                  <c:v>1456000000</c:v>
                </c:pt>
                <c:pt idx="6">
                  <c:v>1491000000</c:v>
                </c:pt>
                <c:pt idx="7">
                  <c:v>2659000000</c:v>
                </c:pt>
                <c:pt idx="8">
                  <c:v>2530000000</c:v>
                </c:pt>
                <c:pt idx="9">
                  <c:v>2375000000</c:v>
                </c:pt>
                <c:pt idx="10">
                  <c:v>2335000000</c:v>
                </c:pt>
              </c:numCache>
            </c:numRef>
          </c:val>
          <c:extLst>
            <c:ext xmlns:c16="http://schemas.microsoft.com/office/drawing/2014/chart" uri="{C3380CC4-5D6E-409C-BE32-E72D297353CC}">
              <c16:uniqueId val="{00000004-D752-4CB0-97B1-A8D2DAB13696}"/>
            </c:ext>
          </c:extLst>
        </c:ser>
        <c:ser>
          <c:idx val="4"/>
          <c:order val="5"/>
          <c:tx>
            <c:strRef>
              <c:f>'Ⅲ-1-(3)_AAｾｸﾞﾒﾝﾄ売上内訳'!$S$24</c:f>
              <c:strCache>
                <c:ptCount val="1"/>
                <c:pt idx="0">
                  <c:v>その他の営業収入
Other Operating Revenue</c:v>
                </c:pt>
              </c:strCache>
            </c:strRef>
          </c:tx>
          <c:spPr>
            <a:solidFill>
              <a:schemeClr val="accent5">
                <a:lumMod val="40000"/>
                <a:lumOff val="60000"/>
              </a:schemeClr>
            </a:solidFill>
            <a:ln w="12700">
              <a:noFill/>
              <a:prstDash val="solid"/>
            </a:ln>
          </c:spPr>
          <c:invertIfNegative val="0"/>
          <c:cat>
            <c:strRef>
              <c:f>'Ⅲ-1-(3)_AAｾｸﾞﾒﾝﾄ売上内訳'!$T$16:$AD$17</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'Ⅲ-1-(3)_AAｾｸﾞﾒﾝﾄ売上内訳'!$T$24:$AD$24</c:f>
              <c:numCache>
                <c:formatCode>#,##0,,;[Red]\-#,##0,,</c:formatCode>
                <c:ptCount val="11"/>
                <c:pt idx="0">
                  <c:v>7647000000</c:v>
                </c:pt>
                <c:pt idx="1">
                  <c:v>8120000000</c:v>
                </c:pt>
                <c:pt idx="2">
                  <c:v>8679000000</c:v>
                </c:pt>
                <c:pt idx="3">
                  <c:v>9009000000</c:v>
                </c:pt>
                <c:pt idx="4">
                  <c:v>9013000000</c:v>
                </c:pt>
                <c:pt idx="5">
                  <c:v>8914000000</c:v>
                </c:pt>
                <c:pt idx="6">
                  <c:v>9113000000</c:v>
                </c:pt>
                <c:pt idx="7">
                  <c:v>9354000000</c:v>
                </c:pt>
                <c:pt idx="8">
                  <c:v>9997000000</c:v>
                </c:pt>
                <c:pt idx="9">
                  <c:v>10691000000</c:v>
                </c:pt>
                <c:pt idx="10">
                  <c:v>11364000000</c:v>
                </c:pt>
              </c:numCache>
            </c:numRef>
          </c:val>
          <c:extLst>
            <c:ext xmlns:c16="http://schemas.microsoft.com/office/drawing/2014/chart" uri="{C3380CC4-5D6E-409C-BE32-E72D297353CC}">
              <c16:uniqueId val="{00000005-D752-4CB0-97B1-A8D2DAB13696}"/>
            </c:ext>
          </c:extLst>
        </c:ser>
        <c:dLbls>
          <c:showLegendKey val="0"/>
          <c:showVal val="0"/>
          <c:showCatName val="0"/>
          <c:showSerName val="0"/>
          <c:showPercent val="0"/>
          <c:showBubbleSize val="0"/>
        </c:dLbls>
        <c:gapWidth val="150"/>
        <c:overlap val="100"/>
        <c:axId val="756221336"/>
        <c:axId val="756221728"/>
      </c:barChart>
      <c:catAx>
        <c:axId val="7562213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a:pPr>
            <a:endParaRPr lang="ja-JP"/>
          </a:p>
        </c:txPr>
        <c:crossAx val="756221728"/>
        <c:crosses val="autoZero"/>
        <c:auto val="1"/>
        <c:lblAlgn val="ctr"/>
        <c:lblOffset val="100"/>
        <c:tickLblSkip val="1"/>
        <c:tickMarkSkip val="1"/>
        <c:noMultiLvlLbl val="0"/>
      </c:catAx>
      <c:valAx>
        <c:axId val="756221728"/>
        <c:scaling>
          <c:orientation val="minMax"/>
          <c:max val="100000000000"/>
          <c:min val="0"/>
        </c:scaling>
        <c:delete val="0"/>
        <c:axPos val="l"/>
        <c:numFmt formatCode="#,##0,,;[Red]\-#,##0,," sourceLinked="0"/>
        <c:majorTickMark val="in"/>
        <c:minorTickMark val="none"/>
        <c:tickLblPos val="nextTo"/>
        <c:spPr>
          <a:ln w="3175">
            <a:solidFill>
              <a:srgbClr val="000000"/>
            </a:solidFill>
            <a:prstDash val="solid"/>
          </a:ln>
        </c:spPr>
        <c:txPr>
          <a:bodyPr rot="0" vert="horz"/>
          <a:lstStyle/>
          <a:p>
            <a:pPr>
              <a:defRPr sz="800"/>
            </a:pPr>
            <a:endParaRPr lang="ja-JP"/>
          </a:p>
        </c:txPr>
        <c:crossAx val="756221336"/>
        <c:crosses val="autoZero"/>
        <c:crossBetween val="between"/>
        <c:majorUnit val="20000000000"/>
      </c:valAx>
      <c:spPr>
        <a:solidFill>
          <a:srgbClr val="FFFFFF"/>
        </a:solidFill>
        <a:ln w="12700">
          <a:noFill/>
          <a:prstDash val="solid"/>
        </a:ln>
      </c:spPr>
    </c:plotArea>
    <c:legend>
      <c:legendPos val="r"/>
      <c:layout>
        <c:manualLayout>
          <c:xMode val="edge"/>
          <c:yMode val="edge"/>
          <c:x val="0.79370828378106495"/>
          <c:y val="0"/>
          <c:w val="0.17799280844854501"/>
          <c:h val="1"/>
        </c:manualLayout>
      </c:layout>
      <c:overlay val="0"/>
      <c:spPr>
        <a:solidFill>
          <a:srgbClr val="FFFFFF"/>
        </a:solidFill>
        <a:ln w="3175">
          <a:noFill/>
          <a:prstDash val="solid"/>
        </a:ln>
      </c:spPr>
      <c:txPr>
        <a:bodyPr/>
        <a:lstStyle/>
        <a:p>
          <a:pPr>
            <a:defRPr sz="800"/>
          </a:pPr>
          <a:endParaRPr lang="ja-JP"/>
        </a:p>
      </c:txPr>
    </c:legend>
    <c:plotVisOnly val="0"/>
    <c:dispBlanksAs val="gap"/>
    <c:showDLblsOverMax val="0"/>
  </c:chart>
  <c:spPr>
    <a:solidFill>
      <a:srgbClr val="FFFFFF"/>
    </a:solidFill>
    <a:ln w="12700">
      <a:noFill/>
      <a:prstDash val="solid"/>
    </a:ln>
  </c:spPr>
  <c:txPr>
    <a:bodyPr/>
    <a:lstStyle/>
    <a:p>
      <a:pPr>
        <a:defRPr sz="950" b="0" i="0" u="none" strike="noStrike" baseline="0">
          <a:solidFill>
            <a:srgbClr val="000000"/>
          </a:solidFill>
          <a:latin typeface="+mn-lt"/>
          <a:ea typeface="+mn-ea"/>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943286622944504E-2"/>
          <c:y val="0.10649140081354266"/>
          <c:w val="0.73484656505034651"/>
          <c:h val="0.47215447474099098"/>
        </c:manualLayout>
      </c:layout>
      <c:barChart>
        <c:barDir val="col"/>
        <c:grouping val="clustered"/>
        <c:varyColors val="0"/>
        <c:ser>
          <c:idx val="1"/>
          <c:order val="0"/>
          <c:tx>
            <c:strRef>
              <c:f>'Ⅲ-1-(4)_AAｾｸﾞﾒﾝﾄ低額車推移'!$R$7</c:f>
              <c:strCache>
                <c:ptCount val="1"/>
                <c:pt idx="0">
                  <c:v>出品台数
No. of Consigned Vehicles</c:v>
                </c:pt>
              </c:strCache>
            </c:strRef>
          </c:tx>
          <c:spPr>
            <a:solidFill>
              <a:srgbClr val="386AAE"/>
            </a:solidFill>
            <a:ln w="12700">
              <a:noFill/>
              <a:prstDash val="solid"/>
            </a:ln>
          </c:spPr>
          <c:invertIfNegative val="0"/>
          <c:cat>
            <c:strRef>
              <c:f>'Ⅲ-1-(4)_AAｾｸﾞﾒﾝﾄ低額車推移'!$S$5:$AC$5</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'Ⅲ-1-(4)_AAｾｸﾞﾒﾝﾄ低額車推移'!$S$7:$AC$7</c:f>
              <c:numCache>
                <c:formatCode>#,##0_);[Red]\(#,##0\)</c:formatCode>
                <c:ptCount val="11"/>
                <c:pt idx="0">
                  <c:v>422180</c:v>
                </c:pt>
                <c:pt idx="1">
                  <c:v>421681</c:v>
                </c:pt>
                <c:pt idx="2">
                  <c:v>484381</c:v>
                </c:pt>
                <c:pt idx="3">
                  <c:v>547506</c:v>
                </c:pt>
                <c:pt idx="4">
                  <c:v>570806</c:v>
                </c:pt>
                <c:pt idx="5">
                  <c:v>498651</c:v>
                </c:pt>
                <c:pt idx="6">
                  <c:v>423500</c:v>
                </c:pt>
                <c:pt idx="7">
                  <c:v>428381</c:v>
                </c:pt>
                <c:pt idx="8">
                  <c:v>437876</c:v>
                </c:pt>
                <c:pt idx="9">
                  <c:v>423671</c:v>
                </c:pt>
                <c:pt idx="10">
                  <c:v>450446</c:v>
                </c:pt>
              </c:numCache>
            </c:numRef>
          </c:val>
          <c:extLst>
            <c:ext xmlns:c16="http://schemas.microsoft.com/office/drawing/2014/chart" uri="{C3380CC4-5D6E-409C-BE32-E72D297353CC}">
              <c16:uniqueId val="{00000000-325C-43C4-B2CF-B26D6EFD4654}"/>
            </c:ext>
          </c:extLst>
        </c:ser>
        <c:ser>
          <c:idx val="0"/>
          <c:order val="1"/>
          <c:tx>
            <c:strRef>
              <c:f>'Ⅲ-1-(4)_AAｾｸﾞﾒﾝﾄ低額車推移'!$R$8</c:f>
              <c:strCache>
                <c:ptCount val="1"/>
                <c:pt idx="0">
                  <c:v>成約台数
No. of Contracted Vehicles</c:v>
                </c:pt>
              </c:strCache>
            </c:strRef>
          </c:tx>
          <c:spPr>
            <a:solidFill>
              <a:srgbClr val="BDC3C4"/>
            </a:solidFill>
            <a:ln w="12700">
              <a:noFill/>
              <a:prstDash val="solid"/>
            </a:ln>
          </c:spPr>
          <c:invertIfNegative val="0"/>
          <c:cat>
            <c:strRef>
              <c:f>'Ⅲ-1-(4)_AAｾｸﾞﾒﾝﾄ低額車推移'!$S$5:$AC$5</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'Ⅲ-1-(4)_AAｾｸﾞﾒﾝﾄ低額車推移'!$S$8:$AC$8</c:f>
              <c:numCache>
                <c:formatCode>#,##0_);[Red]\(#,##0\)</c:formatCode>
                <c:ptCount val="11"/>
                <c:pt idx="0">
                  <c:v>313737</c:v>
                </c:pt>
                <c:pt idx="1">
                  <c:v>321391</c:v>
                </c:pt>
                <c:pt idx="2">
                  <c:v>387366</c:v>
                </c:pt>
                <c:pt idx="3">
                  <c:v>447061</c:v>
                </c:pt>
                <c:pt idx="4">
                  <c:v>456963</c:v>
                </c:pt>
                <c:pt idx="5">
                  <c:v>408120</c:v>
                </c:pt>
                <c:pt idx="6">
                  <c:v>377018</c:v>
                </c:pt>
                <c:pt idx="7">
                  <c:v>381568</c:v>
                </c:pt>
                <c:pt idx="8">
                  <c:v>385335</c:v>
                </c:pt>
                <c:pt idx="9">
                  <c:v>376748</c:v>
                </c:pt>
                <c:pt idx="10">
                  <c:v>397501</c:v>
                </c:pt>
              </c:numCache>
            </c:numRef>
          </c:val>
          <c:extLst>
            <c:ext xmlns:c16="http://schemas.microsoft.com/office/drawing/2014/chart" uri="{C3380CC4-5D6E-409C-BE32-E72D297353CC}">
              <c16:uniqueId val="{00000001-325C-43C4-B2CF-B26D6EFD4654}"/>
            </c:ext>
          </c:extLst>
        </c:ser>
        <c:dLbls>
          <c:showLegendKey val="0"/>
          <c:showVal val="0"/>
          <c:showCatName val="0"/>
          <c:showSerName val="0"/>
          <c:showPercent val="0"/>
          <c:showBubbleSize val="0"/>
        </c:dLbls>
        <c:gapWidth val="150"/>
        <c:axId val="757013952"/>
        <c:axId val="757014344"/>
      </c:barChart>
      <c:lineChart>
        <c:grouping val="standard"/>
        <c:varyColors val="0"/>
        <c:ser>
          <c:idx val="2"/>
          <c:order val="2"/>
          <c:tx>
            <c:strRef>
              <c:f>'Ⅲ-1-(4)_AAｾｸﾞﾒﾝﾄ低額車推移'!$R$9</c:f>
              <c:strCache>
                <c:ptCount val="1"/>
                <c:pt idx="0">
                  <c:v>成約率
Contract Completion Rate</c:v>
                </c:pt>
              </c:strCache>
            </c:strRef>
          </c:tx>
          <c:spPr>
            <a:ln w="12700">
              <a:solidFill>
                <a:srgbClr val="000000"/>
              </a:solidFill>
              <a:prstDash val="solid"/>
            </a:ln>
          </c:spPr>
          <c:marker>
            <c:symbol val="circle"/>
            <c:size val="7"/>
            <c:spPr>
              <a:solidFill>
                <a:srgbClr val="FFFFFF"/>
              </a:solidFill>
              <a:ln cap="rnd">
                <a:solidFill>
                  <a:srgbClr val="000000"/>
                </a:solidFill>
                <a:prstDash val="solid"/>
              </a:ln>
            </c:spPr>
          </c:marker>
          <c:dPt>
            <c:idx val="0"/>
            <c:bubble3D val="0"/>
            <c:extLst>
              <c:ext xmlns:c16="http://schemas.microsoft.com/office/drawing/2014/chart" uri="{C3380CC4-5D6E-409C-BE32-E72D297353CC}">
                <c16:uniqueId val="{00000002-325C-43C4-B2CF-B26D6EFD4654}"/>
              </c:ext>
            </c:extLst>
          </c:dPt>
          <c:dPt>
            <c:idx val="1"/>
            <c:bubble3D val="0"/>
            <c:extLst>
              <c:ext xmlns:c16="http://schemas.microsoft.com/office/drawing/2014/chart" uri="{C3380CC4-5D6E-409C-BE32-E72D297353CC}">
                <c16:uniqueId val="{00000003-325C-43C4-B2CF-B26D6EFD4654}"/>
              </c:ext>
            </c:extLst>
          </c:dPt>
          <c:dPt>
            <c:idx val="2"/>
            <c:bubble3D val="0"/>
            <c:extLst>
              <c:ext xmlns:c16="http://schemas.microsoft.com/office/drawing/2014/chart" uri="{C3380CC4-5D6E-409C-BE32-E72D297353CC}">
                <c16:uniqueId val="{00000004-325C-43C4-B2CF-B26D6EFD4654}"/>
              </c:ext>
            </c:extLst>
          </c:dPt>
          <c:cat>
            <c:strRef>
              <c:f>'Ⅲ-1-(4)_AAｾｸﾞﾒﾝﾄ低額車推移'!$S$5:$AC$5</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'Ⅲ-1-(4)_AAｾｸﾞﾒﾝﾄ低額車推移'!$S$9:$AC$9</c:f>
              <c:numCache>
                <c:formatCode>General</c:formatCode>
                <c:ptCount val="11"/>
                <c:pt idx="0">
                  <c:v>74.313562935240896</c:v>
                </c:pt>
                <c:pt idx="1">
                  <c:v>76.216618723632322</c:v>
                </c:pt>
                <c:pt idx="2">
                  <c:v>79.971344871082877</c:v>
                </c:pt>
                <c:pt idx="3">
                  <c:v>81.654082329691363</c:v>
                </c:pt>
                <c:pt idx="4">
                  <c:v>80.05574573497826</c:v>
                </c:pt>
                <c:pt idx="5">
                  <c:v>81.844817317121596</c:v>
                </c:pt>
                <c:pt idx="6">
                  <c:v>89.024321133412045</c:v>
                </c:pt>
                <c:pt idx="7">
                  <c:v>89.072111041339369</c:v>
                </c:pt>
                <c:pt idx="8">
                  <c:v>88.000940905644526</c:v>
                </c:pt>
                <c:pt idx="9">
                  <c:v>88.924660880730571</c:v>
                </c:pt>
                <c:pt idx="10">
                  <c:v>88.246093871407453</c:v>
                </c:pt>
              </c:numCache>
            </c:numRef>
          </c:val>
          <c:smooth val="0"/>
          <c:extLst>
            <c:ext xmlns:c16="http://schemas.microsoft.com/office/drawing/2014/chart" uri="{C3380CC4-5D6E-409C-BE32-E72D297353CC}">
              <c16:uniqueId val="{00000005-325C-43C4-B2CF-B26D6EFD4654}"/>
            </c:ext>
          </c:extLst>
        </c:ser>
        <c:dLbls>
          <c:showLegendKey val="0"/>
          <c:showVal val="0"/>
          <c:showCatName val="0"/>
          <c:showSerName val="0"/>
          <c:showPercent val="0"/>
          <c:showBubbleSize val="0"/>
        </c:dLbls>
        <c:marker val="1"/>
        <c:smooth val="0"/>
        <c:axId val="757014736"/>
        <c:axId val="757015128"/>
      </c:lineChart>
      <c:catAx>
        <c:axId val="7570139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757014344"/>
        <c:crosses val="autoZero"/>
        <c:auto val="0"/>
        <c:lblAlgn val="ctr"/>
        <c:lblOffset val="100"/>
        <c:tickLblSkip val="1"/>
        <c:tickMarkSkip val="1"/>
        <c:noMultiLvlLbl val="0"/>
      </c:catAx>
      <c:valAx>
        <c:axId val="757014344"/>
        <c:scaling>
          <c:orientation val="minMax"/>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700"/>
            </a:pPr>
            <a:endParaRPr lang="ja-JP"/>
          </a:p>
        </c:txPr>
        <c:crossAx val="757013952"/>
        <c:crosses val="autoZero"/>
        <c:crossBetween val="between"/>
      </c:valAx>
      <c:catAx>
        <c:axId val="757014736"/>
        <c:scaling>
          <c:orientation val="minMax"/>
        </c:scaling>
        <c:delete val="1"/>
        <c:axPos val="b"/>
        <c:numFmt formatCode="General" sourceLinked="1"/>
        <c:majorTickMark val="out"/>
        <c:minorTickMark val="none"/>
        <c:tickLblPos val="nextTo"/>
        <c:crossAx val="757015128"/>
        <c:crosses val="autoZero"/>
        <c:auto val="0"/>
        <c:lblAlgn val="ctr"/>
        <c:lblOffset val="100"/>
        <c:noMultiLvlLbl val="0"/>
      </c:catAx>
      <c:valAx>
        <c:axId val="757015128"/>
        <c:scaling>
          <c:orientation val="minMax"/>
          <c:max val="100"/>
          <c:min val="50"/>
        </c:scaling>
        <c:delete val="0"/>
        <c:axPos val="r"/>
        <c:numFmt formatCode="0.0_ " sourceLinked="0"/>
        <c:majorTickMark val="in"/>
        <c:minorTickMark val="none"/>
        <c:tickLblPos val="nextTo"/>
        <c:spPr>
          <a:ln w="3175">
            <a:solidFill>
              <a:srgbClr val="000000"/>
            </a:solidFill>
            <a:prstDash val="solid"/>
          </a:ln>
        </c:spPr>
        <c:txPr>
          <a:bodyPr rot="0" vert="horz"/>
          <a:lstStyle/>
          <a:p>
            <a:pPr>
              <a:defRPr sz="700"/>
            </a:pPr>
            <a:endParaRPr lang="ja-JP"/>
          </a:p>
        </c:txPr>
        <c:crossAx val="757014736"/>
        <c:crosses val="max"/>
        <c:crossBetween val="between"/>
        <c:majorUnit val="10"/>
      </c:valAx>
      <c:spPr>
        <a:solidFill>
          <a:srgbClr val="FFFFFF"/>
        </a:solidFill>
        <a:ln w="12700">
          <a:noFill/>
          <a:prstDash val="solid"/>
        </a:ln>
      </c:spPr>
    </c:plotArea>
    <c:legend>
      <c:legendPos val="r"/>
      <c:layout>
        <c:manualLayout>
          <c:xMode val="edge"/>
          <c:yMode val="edge"/>
          <c:x val="0.82930372386522611"/>
          <c:y val="3.7354928854543896E-2"/>
          <c:w val="0.17069632286293038"/>
          <c:h val="0.57181943293648596"/>
        </c:manualLayout>
      </c:layout>
      <c:overlay val="0"/>
      <c:spPr>
        <a:noFill/>
        <a:ln w="3175">
          <a:noFill/>
          <a:prstDash val="solid"/>
        </a:ln>
      </c:spPr>
      <c:txPr>
        <a:bodyPr/>
        <a:lstStyle/>
        <a:p>
          <a:pPr>
            <a:defRPr sz="700"/>
          </a:pPr>
          <a:endParaRPr lang="ja-JP"/>
        </a:p>
      </c:txPr>
    </c:legend>
    <c:plotVisOnly val="0"/>
    <c:dispBlanksAs val="gap"/>
    <c:showDLblsOverMax val="0"/>
  </c:chart>
  <c:spPr>
    <a:noFill/>
    <a:ln w="12700">
      <a:noFill/>
      <a:prstDash val="solid"/>
    </a:ln>
  </c:spPr>
  <c:txPr>
    <a:bodyPr/>
    <a:lstStyle/>
    <a:p>
      <a:pPr>
        <a:defRPr sz="1100" b="0" i="0" u="none" strike="noStrike" baseline="0">
          <a:solidFill>
            <a:srgbClr val="000000"/>
          </a:solidFill>
          <a:latin typeface="+mn-lt"/>
          <a:ea typeface="+mn-ea"/>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421269523315655E-2"/>
          <c:y val="0.15183187985609084"/>
          <c:w val="0.8845478792862157"/>
          <c:h val="0.68170241342552562"/>
        </c:manualLayout>
      </c:layout>
      <c:lineChart>
        <c:grouping val="standard"/>
        <c:varyColors val="0"/>
        <c:ser>
          <c:idx val="0"/>
          <c:order val="0"/>
          <c:tx>
            <c:strRef>
              <c:f>'Ⅲ-1-(4)_AAｾｸﾞﾒﾝﾄ低額車推移'!$R$15</c:f>
              <c:strCache>
                <c:ptCount val="1"/>
                <c:pt idx="0">
                  <c:v>リユース割合</c:v>
                </c:pt>
              </c:strCache>
            </c:strRef>
          </c:tx>
          <c:spPr>
            <a:ln w="12700">
              <a:solidFill>
                <a:srgbClr val="000000"/>
              </a:solidFill>
              <a:prstDash val="solid"/>
            </a:ln>
          </c:spPr>
          <c:marker>
            <c:symbol val="circle"/>
            <c:size val="7"/>
            <c:spPr>
              <a:solidFill>
                <a:srgbClr val="FFFFFF"/>
              </a:solidFill>
              <a:ln cap="rnd">
                <a:solidFill>
                  <a:srgbClr val="000000"/>
                </a:solidFill>
                <a:prstDash val="solid"/>
              </a:ln>
            </c:spPr>
          </c:marker>
          <c:dPt>
            <c:idx val="0"/>
            <c:bubble3D val="0"/>
            <c:spPr>
              <a:ln w="28575">
                <a:noFill/>
              </a:ln>
            </c:spPr>
            <c:extLst>
              <c:ext xmlns:c16="http://schemas.microsoft.com/office/drawing/2014/chart" uri="{C3380CC4-5D6E-409C-BE32-E72D297353CC}">
                <c16:uniqueId val="{00000001-2666-4C94-95BC-D1796B114B82}"/>
              </c:ext>
            </c:extLst>
          </c:dPt>
          <c:dPt>
            <c:idx val="1"/>
            <c:bubble3D val="0"/>
            <c:extLst>
              <c:ext xmlns:c16="http://schemas.microsoft.com/office/drawing/2014/chart" uri="{C3380CC4-5D6E-409C-BE32-E72D297353CC}">
                <c16:uniqueId val="{00000002-2666-4C94-95BC-D1796B114B82}"/>
              </c:ext>
            </c:extLst>
          </c:dPt>
          <c:dPt>
            <c:idx val="2"/>
            <c:bubble3D val="0"/>
            <c:extLst>
              <c:ext xmlns:c16="http://schemas.microsoft.com/office/drawing/2014/chart" uri="{C3380CC4-5D6E-409C-BE32-E72D297353CC}">
                <c16:uniqueId val="{00000003-2666-4C94-95BC-D1796B114B82}"/>
              </c:ext>
            </c:extLst>
          </c:dPt>
          <c:dLbls>
            <c:dLbl>
              <c:idx val="0"/>
              <c:layout>
                <c:manualLayout>
                  <c:x val="-2.3223494957600732E-2"/>
                  <c:y val="7.343801859967460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666-4C94-95BC-D1796B114B82}"/>
                </c:ext>
              </c:extLst>
            </c:dLbl>
            <c:dLbl>
              <c:idx val="1"/>
              <c:layout>
                <c:manualLayout>
                  <c:x val="-2.4694846132322461E-2"/>
                  <c:y val="7.648274604966193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666-4C94-95BC-D1796B114B82}"/>
                </c:ext>
              </c:extLst>
            </c:dLbl>
            <c:dLbl>
              <c:idx val="2"/>
              <c:layout>
                <c:manualLayout>
                  <c:x val="-2.5551810090628711E-2"/>
                  <c:y val="7.829919808111374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666-4C94-95BC-D1796B114B82}"/>
                </c:ext>
              </c:extLst>
            </c:dLbl>
            <c:dLbl>
              <c:idx val="3"/>
              <c:layout>
                <c:manualLayout>
                  <c:x val="-2.5039060206906206E-2"/>
                  <c:y val="8.411474723882633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666-4C94-95BC-D1796B114B82}"/>
                </c:ext>
              </c:extLst>
            </c:dLbl>
            <c:dLbl>
              <c:idx val="4"/>
              <c:layout>
                <c:manualLayout>
                  <c:x val="-2.4107824233584554E-2"/>
                  <c:y val="9.24823791310120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666-4C94-95BC-D1796B114B82}"/>
                </c:ext>
              </c:extLst>
            </c:dLbl>
            <c:dLbl>
              <c:idx val="5"/>
              <c:layout>
                <c:manualLayout>
                  <c:x val="-2.5633204336811873E-2"/>
                  <c:y val="8.928340216374622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666-4C94-95BC-D1796B114B82}"/>
                </c:ext>
              </c:extLst>
            </c:dLbl>
            <c:dLbl>
              <c:idx val="6"/>
              <c:layout>
                <c:manualLayout>
                  <c:x val="-2.5763369302095756E-2"/>
                  <c:y val="8.778172486660021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666-4C94-95BC-D1796B114B82}"/>
                </c:ext>
              </c:extLst>
            </c:dLbl>
            <c:dLbl>
              <c:idx val="7"/>
              <c:layout>
                <c:manualLayout>
                  <c:x val="-3.0627830736092987E-2"/>
                  <c:y val="8.5335547637961195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0021525091136566E-2"/>
                      <c:h val="0.13149802609274425"/>
                    </c:manualLayout>
                  </c15:layout>
                </c:ext>
                <c:ext xmlns:c16="http://schemas.microsoft.com/office/drawing/2014/chart" uri="{C3380CC4-5D6E-409C-BE32-E72D297353CC}">
                  <c16:uniqueId val="{00000008-2666-4C94-95BC-D1796B114B82}"/>
                </c:ext>
              </c:extLst>
            </c:dLbl>
            <c:dLbl>
              <c:idx val="8"/>
              <c:layout>
                <c:manualLayout>
                  <c:x val="-2.3510632052850942E-2"/>
                  <c:y val="9.310477736890006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666-4C94-95BC-D1796B114B82}"/>
                </c:ext>
              </c:extLst>
            </c:dLbl>
            <c:dLbl>
              <c:idx val="9"/>
              <c:layout>
                <c:manualLayout>
                  <c:x val="-2.5105214198949771E-2"/>
                  <c:y val="9.335023723621176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2666-4C94-95BC-D1796B114B82}"/>
                </c:ext>
              </c:extLst>
            </c:dLbl>
            <c:dLbl>
              <c:idx val="10"/>
              <c:layout>
                <c:manualLayout>
                  <c:x val="-2.5021900809652612E-2"/>
                  <c:y val="9.630925343706303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2666-4C94-95BC-D1796B114B82}"/>
                </c:ext>
              </c:extLst>
            </c:dLbl>
            <c:spPr>
              <a:noFill/>
              <a:ln w="25400">
                <a:noFill/>
              </a:ln>
            </c:spPr>
            <c:txPr>
              <a:bodyPr rot="0" wrap="square" lIns="38100" tIns="19050" rIns="38100" bIns="19050" anchor="ctr">
                <a:spAutoFit/>
              </a:bodyPr>
              <a:lstStyle/>
              <a:p>
                <a:pPr>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'Ⅲ-1-(4)_AAｾｸﾞﾒﾝﾄ低額車推移'!$S$12:$AC$12</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'Ⅲ-1-(4)_AAｾｸﾞﾒﾝﾄ低額車推移'!$S$15:$AC$15</c:f>
              <c:numCache>
                <c:formatCode>0.0</c:formatCode>
                <c:ptCount val="11"/>
                <c:pt idx="0">
                  <c:v>17.600000000000001</c:v>
                </c:pt>
                <c:pt idx="1">
                  <c:v>17.899999999999999</c:v>
                </c:pt>
                <c:pt idx="2">
                  <c:v>17.899999999999999</c:v>
                </c:pt>
                <c:pt idx="3">
                  <c:v>18.7</c:v>
                </c:pt>
                <c:pt idx="4">
                  <c:v>19.5</c:v>
                </c:pt>
                <c:pt idx="5">
                  <c:v>18.7</c:v>
                </c:pt>
                <c:pt idx="6">
                  <c:v>15.5</c:v>
                </c:pt>
                <c:pt idx="7">
                  <c:v>14.5</c:v>
                </c:pt>
                <c:pt idx="8">
                  <c:v>14.2</c:v>
                </c:pt>
                <c:pt idx="9">
                  <c:v>13.2</c:v>
                </c:pt>
                <c:pt idx="10">
                  <c:v>12.9</c:v>
                </c:pt>
              </c:numCache>
            </c:numRef>
          </c:val>
          <c:smooth val="0"/>
          <c:extLst>
            <c:ext xmlns:c16="http://schemas.microsoft.com/office/drawing/2014/chart" uri="{C3380CC4-5D6E-409C-BE32-E72D297353CC}">
              <c16:uniqueId val="{0000000C-2666-4C94-95BC-D1796B114B82}"/>
            </c:ext>
          </c:extLst>
        </c:ser>
        <c:dLbls>
          <c:showLegendKey val="0"/>
          <c:showVal val="1"/>
          <c:showCatName val="0"/>
          <c:showSerName val="0"/>
          <c:showPercent val="0"/>
          <c:showBubbleSize val="0"/>
        </c:dLbls>
        <c:marker val="1"/>
        <c:smooth val="0"/>
        <c:axId val="757871664"/>
        <c:axId val="757872056"/>
      </c:lineChart>
      <c:catAx>
        <c:axId val="7578716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757872056"/>
        <c:crosses val="autoZero"/>
        <c:auto val="1"/>
        <c:lblAlgn val="ctr"/>
        <c:lblOffset val="100"/>
        <c:tickLblSkip val="1"/>
        <c:tickMarkSkip val="1"/>
        <c:noMultiLvlLbl val="0"/>
      </c:catAx>
      <c:valAx>
        <c:axId val="757872056"/>
        <c:scaling>
          <c:orientation val="minMax"/>
          <c:max val="30"/>
          <c:min val="0"/>
        </c:scaling>
        <c:delete val="0"/>
        <c:axPos val="l"/>
        <c:numFmt formatCode="0.0_ " sourceLinked="0"/>
        <c:majorTickMark val="in"/>
        <c:minorTickMark val="none"/>
        <c:tickLblPos val="nextTo"/>
        <c:spPr>
          <a:ln w="3175">
            <a:solidFill>
              <a:srgbClr val="000000"/>
            </a:solidFill>
            <a:prstDash val="solid"/>
          </a:ln>
        </c:spPr>
        <c:txPr>
          <a:bodyPr rot="0" vert="horz"/>
          <a:lstStyle/>
          <a:p>
            <a:pPr>
              <a:defRPr/>
            </a:pPr>
            <a:endParaRPr lang="ja-JP"/>
          </a:p>
        </c:txPr>
        <c:crossAx val="757871664"/>
        <c:crosses val="autoZero"/>
        <c:crossBetween val="between"/>
        <c:majorUnit val="5"/>
        <c:minorUnit val="5"/>
      </c:valAx>
      <c:spPr>
        <a:noFill/>
        <a:ln w="12700">
          <a:noFill/>
          <a:prstDash val="solid"/>
        </a:ln>
      </c:spPr>
    </c:plotArea>
    <c:plotVisOnly val="0"/>
    <c:dispBlanksAs val="gap"/>
    <c:showDLblsOverMax val="0"/>
  </c:chart>
  <c:spPr>
    <a:noFill/>
    <a:ln w="12700">
      <a:noFill/>
      <a:prstDash val="solid"/>
    </a:ln>
  </c:spPr>
  <c:txPr>
    <a:bodyPr/>
    <a:lstStyle/>
    <a:p>
      <a:pPr>
        <a:defRPr sz="700" b="0" i="0" u="none" strike="noStrike" baseline="0">
          <a:solidFill>
            <a:srgbClr val="000000"/>
          </a:solidFill>
          <a:latin typeface="+mn-lt"/>
          <a:ea typeface="+mn-ea"/>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936436450978696E-2"/>
          <c:y val="0.12578444532510458"/>
          <c:w val="0.83968384127579565"/>
          <c:h val="0.36645744081847625"/>
        </c:manualLayout>
      </c:layout>
      <c:barChart>
        <c:barDir val="col"/>
        <c:grouping val="clustered"/>
        <c:varyColors val="0"/>
        <c:ser>
          <c:idx val="0"/>
          <c:order val="0"/>
          <c:tx>
            <c:strRef>
              <c:f>'Ⅲ-1-(5)_AAｾｸﾞﾒﾝﾄ会員数および外部落札'!$T$7</c:f>
              <c:strCache>
                <c:ptCount val="1"/>
                <c:pt idx="0">
                  <c:v>現車会員　On-site Auction Members</c:v>
                </c:pt>
              </c:strCache>
            </c:strRef>
          </c:tx>
          <c:spPr>
            <a:solidFill>
              <a:srgbClr val="386AAE"/>
            </a:solidFill>
            <a:ln w="12700">
              <a:noFill/>
              <a:prstDash val="solid"/>
            </a:ln>
          </c:spPr>
          <c:invertIfNegative val="0"/>
          <c:cat>
            <c:strRef>
              <c:f>'Ⅲ-1-(5)_AAｾｸﾞﾒﾝﾄ会員数および外部落札'!$V$5:$AF$5</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'Ⅲ-1-(5)_AAｾｸﾞﾒﾝﾄ会員数および外部落札'!$V$7:$AF$7</c:f>
              <c:numCache>
                <c:formatCode>#,##0_);[Red]\(#,##0\)</c:formatCode>
                <c:ptCount val="11"/>
                <c:pt idx="0">
                  <c:v>46850</c:v>
                </c:pt>
                <c:pt idx="1">
                  <c:v>47111</c:v>
                </c:pt>
                <c:pt idx="2">
                  <c:v>47362</c:v>
                </c:pt>
                <c:pt idx="3">
                  <c:v>48723</c:v>
                </c:pt>
                <c:pt idx="4">
                  <c:v>48182</c:v>
                </c:pt>
                <c:pt idx="5">
                  <c:v>48058</c:v>
                </c:pt>
                <c:pt idx="6">
                  <c:v>48362</c:v>
                </c:pt>
                <c:pt idx="7">
                  <c:v>48490</c:v>
                </c:pt>
                <c:pt idx="8">
                  <c:v>48123</c:v>
                </c:pt>
                <c:pt idx="9">
                  <c:v>48160</c:v>
                </c:pt>
                <c:pt idx="10">
                  <c:v>49176</c:v>
                </c:pt>
              </c:numCache>
            </c:numRef>
          </c:val>
          <c:extLst>
            <c:ext xmlns:c16="http://schemas.microsoft.com/office/drawing/2014/chart" uri="{C3380CC4-5D6E-409C-BE32-E72D297353CC}">
              <c16:uniqueId val="{00000000-B5D2-4C4C-A065-F9D36B8F32CE}"/>
            </c:ext>
          </c:extLst>
        </c:ser>
        <c:ser>
          <c:idx val="2"/>
          <c:order val="1"/>
          <c:tx>
            <c:strRef>
              <c:f>'Ⅲ-1-(5)_AAｾｸﾞﾒﾝﾄ会員数および外部落札'!$T$8</c:f>
              <c:strCache>
                <c:ptCount val="1"/>
                <c:pt idx="0">
                  <c:v>CIS会員　CIS Members</c:v>
                </c:pt>
              </c:strCache>
            </c:strRef>
          </c:tx>
          <c:spPr>
            <a:solidFill>
              <a:srgbClr val="1DB1E1"/>
            </a:solidFill>
            <a:ln w="12700">
              <a:noFill/>
              <a:prstDash val="solid"/>
            </a:ln>
          </c:spPr>
          <c:invertIfNegative val="0"/>
          <c:cat>
            <c:strRef>
              <c:f>'Ⅲ-1-(5)_AAｾｸﾞﾒﾝﾄ会員数および外部落札'!$V$5:$AF$5</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'Ⅲ-1-(5)_AAｾｸﾞﾒﾝﾄ会員数および外部落札'!$V$8:$AF$8</c:f>
              <c:numCache>
                <c:formatCode>#,##0_);[Red]\(#,##0\)</c:formatCode>
                <c:ptCount val="11"/>
                <c:pt idx="0">
                  <c:v>29512</c:v>
                </c:pt>
                <c:pt idx="1">
                  <c:v>29966</c:v>
                </c:pt>
                <c:pt idx="2">
                  <c:v>30337</c:v>
                </c:pt>
                <c:pt idx="3">
                  <c:v>31639</c:v>
                </c:pt>
                <c:pt idx="4">
                  <c:v>31998</c:v>
                </c:pt>
                <c:pt idx="5">
                  <c:v>32538</c:v>
                </c:pt>
                <c:pt idx="6">
                  <c:v>33359</c:v>
                </c:pt>
                <c:pt idx="7">
                  <c:v>33934</c:v>
                </c:pt>
                <c:pt idx="8">
                  <c:v>34367</c:v>
                </c:pt>
                <c:pt idx="9">
                  <c:v>35148</c:v>
                </c:pt>
                <c:pt idx="10">
                  <c:v>36279</c:v>
                </c:pt>
              </c:numCache>
            </c:numRef>
          </c:val>
          <c:extLst>
            <c:ext xmlns:c16="http://schemas.microsoft.com/office/drawing/2014/chart" uri="{C3380CC4-5D6E-409C-BE32-E72D297353CC}">
              <c16:uniqueId val="{00000001-B5D2-4C4C-A065-F9D36B8F32CE}"/>
            </c:ext>
          </c:extLst>
        </c:ser>
        <c:ser>
          <c:idx val="1"/>
          <c:order val="2"/>
          <c:tx>
            <c:strRef>
              <c:f>'Ⅲ-1-(5)_AAｾｸﾞﾒﾝﾄ会員数および外部落札'!$T$9</c:f>
              <c:strCache>
                <c:ptCount val="1"/>
                <c:pt idx="0">
                  <c:v>USS JAPAN会員　USS JAPAN Members</c:v>
                </c:pt>
              </c:strCache>
            </c:strRef>
          </c:tx>
          <c:spPr>
            <a:solidFill>
              <a:srgbClr val="BDC3C4"/>
            </a:solidFill>
            <a:ln w="12700">
              <a:noFill/>
              <a:prstDash val="solid"/>
            </a:ln>
          </c:spPr>
          <c:invertIfNegative val="0"/>
          <c:cat>
            <c:strRef>
              <c:f>'Ⅲ-1-(5)_AAｾｸﾞﾒﾝﾄ会員数および外部落札'!$V$5:$AF$5</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'Ⅲ-1-(5)_AAｾｸﾞﾒﾝﾄ会員数および外部落札'!$V$9:$AF$9</c:f>
              <c:numCache>
                <c:formatCode>#,##0_);[Red]\(#,##0\)</c:formatCode>
                <c:ptCount val="11"/>
                <c:pt idx="0">
                  <c:v>3101</c:v>
                </c:pt>
                <c:pt idx="1">
                  <c:v>2894</c:v>
                </c:pt>
                <c:pt idx="2">
                  <c:v>2623</c:v>
                </c:pt>
                <c:pt idx="3">
                  <c:v>2468</c:v>
                </c:pt>
                <c:pt idx="4">
                  <c:v>2342</c:v>
                </c:pt>
                <c:pt idx="5">
                  <c:v>2197</c:v>
                </c:pt>
                <c:pt idx="6">
                  <c:v>2081</c:v>
                </c:pt>
                <c:pt idx="7">
                  <c:v>1981</c:v>
                </c:pt>
                <c:pt idx="8">
                  <c:v>1774</c:v>
                </c:pt>
                <c:pt idx="9">
                  <c:v>1964</c:v>
                </c:pt>
                <c:pt idx="10">
                  <c:v>1946</c:v>
                </c:pt>
              </c:numCache>
            </c:numRef>
          </c:val>
          <c:extLst>
            <c:ext xmlns:c16="http://schemas.microsoft.com/office/drawing/2014/chart" uri="{C3380CC4-5D6E-409C-BE32-E72D297353CC}">
              <c16:uniqueId val="{00000002-B5D2-4C4C-A065-F9D36B8F32CE}"/>
            </c:ext>
          </c:extLst>
        </c:ser>
        <c:dLbls>
          <c:showLegendKey val="0"/>
          <c:showVal val="0"/>
          <c:showCatName val="0"/>
          <c:showSerName val="0"/>
          <c:showPercent val="0"/>
          <c:showBubbleSize val="0"/>
        </c:dLbls>
        <c:gapWidth val="150"/>
        <c:axId val="757872840"/>
        <c:axId val="757873232"/>
      </c:barChart>
      <c:catAx>
        <c:axId val="7578728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757873232"/>
        <c:crosses val="autoZero"/>
        <c:auto val="1"/>
        <c:lblAlgn val="ctr"/>
        <c:lblOffset val="100"/>
        <c:tickLblSkip val="1"/>
        <c:tickMarkSkip val="1"/>
        <c:noMultiLvlLbl val="0"/>
      </c:catAx>
      <c:valAx>
        <c:axId val="757873232"/>
        <c:scaling>
          <c:orientation val="minMax"/>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a:pPr>
            <a:endParaRPr lang="ja-JP"/>
          </a:p>
        </c:txPr>
        <c:crossAx val="757872840"/>
        <c:crosses val="autoZero"/>
        <c:crossBetween val="between"/>
      </c:valAx>
      <c:spPr>
        <a:solidFill>
          <a:srgbClr val="FFFFFF"/>
        </a:solidFill>
        <a:ln w="12700">
          <a:noFill/>
          <a:prstDash val="solid"/>
        </a:ln>
      </c:spPr>
    </c:plotArea>
    <c:legend>
      <c:legendPos val="r"/>
      <c:layout>
        <c:manualLayout>
          <c:xMode val="edge"/>
          <c:yMode val="edge"/>
          <c:x val="0.56815430635559916"/>
          <c:y val="9.5167047662567542E-5"/>
          <c:w val="0.43184569364440084"/>
          <c:h val="0.12771694153877594"/>
        </c:manualLayout>
      </c:layout>
      <c:overlay val="0"/>
    </c:legend>
    <c:plotVisOnly val="0"/>
    <c:dispBlanksAs val="gap"/>
    <c:showDLblsOverMax val="0"/>
  </c:chart>
  <c:spPr>
    <a:noFill/>
    <a:ln w="12700">
      <a:noFill/>
      <a:prstDash val="solid"/>
    </a:ln>
  </c:spPr>
  <c:txPr>
    <a:bodyPr/>
    <a:lstStyle/>
    <a:p>
      <a:pPr>
        <a:defRPr sz="600" b="0" i="0" u="none" strike="noStrike" baseline="0">
          <a:solidFill>
            <a:srgbClr val="000000"/>
          </a:solidFill>
          <a:latin typeface="+mn-lt"/>
          <a:ea typeface="メイリオ" panose="020B0604030504040204" pitchFamily="50" charset="-128"/>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29421514249296"/>
          <c:y val="0.10300793588322656"/>
          <c:w val="0.78040604908385325"/>
          <c:h val="0.34947377176381311"/>
        </c:manualLayout>
      </c:layout>
      <c:barChart>
        <c:barDir val="col"/>
        <c:grouping val="stacked"/>
        <c:varyColors val="0"/>
        <c:ser>
          <c:idx val="1"/>
          <c:order val="0"/>
          <c:tx>
            <c:strRef>
              <c:f>'Ⅲ-1-(5)_AAｾｸﾞﾒﾝﾄ会員数および外部落札'!$U$18</c:f>
              <c:strCache>
                <c:ptCount val="1"/>
                <c:pt idx="0">
                  <c:v>USS JAPAN落札台数　No. of Successful USS JAPAN Bids </c:v>
                </c:pt>
              </c:strCache>
            </c:strRef>
          </c:tx>
          <c:spPr>
            <a:solidFill>
              <a:srgbClr val="1DB1E1"/>
            </a:solidFill>
            <a:ln w="12700">
              <a:noFill/>
              <a:prstDash val="solid"/>
            </a:ln>
          </c:spPr>
          <c:invertIfNegative val="0"/>
          <c:cat>
            <c:strRef>
              <c:f>'Ⅲ-1-(5)_AAｾｸﾞﾒﾝﾄ会員数および外部落札'!$V$15:$AF$16</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'Ⅲ-1-(5)_AAｾｸﾞﾒﾝﾄ会員数および外部落札'!$V$18:$AF$18</c:f>
              <c:numCache>
                <c:formatCode>#,##0_);[Red]\(#,##0\)</c:formatCode>
                <c:ptCount val="11"/>
                <c:pt idx="0">
                  <c:v>366910</c:v>
                </c:pt>
                <c:pt idx="1">
                  <c:v>352147</c:v>
                </c:pt>
                <c:pt idx="2">
                  <c:v>350897</c:v>
                </c:pt>
                <c:pt idx="3">
                  <c:v>371191</c:v>
                </c:pt>
                <c:pt idx="4">
                  <c:v>364147</c:v>
                </c:pt>
                <c:pt idx="5">
                  <c:v>343303</c:v>
                </c:pt>
                <c:pt idx="6">
                  <c:v>363466</c:v>
                </c:pt>
                <c:pt idx="7">
                  <c:v>377795</c:v>
                </c:pt>
                <c:pt idx="8">
                  <c:v>403572</c:v>
                </c:pt>
                <c:pt idx="9">
                  <c:v>494345</c:v>
                </c:pt>
                <c:pt idx="10">
                  <c:v>538012</c:v>
                </c:pt>
              </c:numCache>
            </c:numRef>
          </c:val>
          <c:extLst>
            <c:ext xmlns:c16="http://schemas.microsoft.com/office/drawing/2014/chart" uri="{C3380CC4-5D6E-409C-BE32-E72D297353CC}">
              <c16:uniqueId val="{00000001-AC7A-48FD-9BFD-538144897FD2}"/>
            </c:ext>
          </c:extLst>
        </c:ser>
        <c:ser>
          <c:idx val="0"/>
          <c:order val="1"/>
          <c:tx>
            <c:strRef>
              <c:f>'Ⅲ-1-(5)_AAｾｸﾞﾒﾝﾄ会員数および外部落札'!$U$17</c:f>
              <c:strCache>
                <c:ptCount val="1"/>
                <c:pt idx="0">
                  <c:v>CIS落札台数　No. of Successful CIS Bids</c:v>
                </c:pt>
              </c:strCache>
            </c:strRef>
          </c:tx>
          <c:spPr>
            <a:solidFill>
              <a:srgbClr val="BDC3C4"/>
            </a:solidFill>
            <a:ln w="12700">
              <a:noFill/>
              <a:prstDash val="solid"/>
            </a:ln>
          </c:spPr>
          <c:invertIfNegative val="0"/>
          <c:cat>
            <c:strRef>
              <c:f>'Ⅲ-1-(5)_AAｾｸﾞﾒﾝﾄ会員数および外部落札'!$V$15:$AF$16</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'Ⅲ-1-(5)_AAｾｸﾞﾒﾝﾄ会員数および外部落札'!$V$17:$AF$17</c:f>
              <c:numCache>
                <c:formatCode>#,##0_);[Red]\(#,##0\)</c:formatCode>
                <c:ptCount val="11"/>
                <c:pt idx="0">
                  <c:v>396216</c:v>
                </c:pt>
                <c:pt idx="1">
                  <c:v>390202</c:v>
                </c:pt>
                <c:pt idx="2">
                  <c:v>404131</c:v>
                </c:pt>
                <c:pt idx="3">
                  <c:v>441813</c:v>
                </c:pt>
                <c:pt idx="4">
                  <c:v>487052</c:v>
                </c:pt>
                <c:pt idx="5">
                  <c:v>557126</c:v>
                </c:pt>
                <c:pt idx="6">
                  <c:v>579983</c:v>
                </c:pt>
                <c:pt idx="7">
                  <c:v>580673</c:v>
                </c:pt>
                <c:pt idx="8">
                  <c:v>638708</c:v>
                </c:pt>
                <c:pt idx="9">
                  <c:v>645379</c:v>
                </c:pt>
                <c:pt idx="10">
                  <c:v>673134</c:v>
                </c:pt>
              </c:numCache>
            </c:numRef>
          </c:val>
          <c:extLst>
            <c:ext xmlns:c16="http://schemas.microsoft.com/office/drawing/2014/chart" uri="{C3380CC4-5D6E-409C-BE32-E72D297353CC}">
              <c16:uniqueId val="{00000000-AC7A-48FD-9BFD-538144897FD2}"/>
            </c:ext>
          </c:extLst>
        </c:ser>
        <c:dLbls>
          <c:showLegendKey val="0"/>
          <c:showVal val="0"/>
          <c:showCatName val="0"/>
          <c:showSerName val="0"/>
          <c:showPercent val="0"/>
          <c:showBubbleSize val="0"/>
        </c:dLbls>
        <c:gapWidth val="150"/>
        <c:overlap val="100"/>
        <c:axId val="758136648"/>
        <c:axId val="758137040"/>
      </c:barChart>
      <c:lineChart>
        <c:grouping val="standard"/>
        <c:varyColors val="0"/>
        <c:ser>
          <c:idx val="2"/>
          <c:order val="2"/>
          <c:tx>
            <c:strRef>
              <c:f>'Ⅲ-1-(5)_AAｾｸﾞﾒﾝﾄ会員数および外部落札'!$U$21</c:f>
              <c:strCache>
                <c:ptCount val="1"/>
                <c:pt idx="0">
                  <c:v>外部落札比率　Ratio of Successful Off-site Bids</c:v>
                </c:pt>
              </c:strCache>
            </c:strRef>
          </c:tx>
          <c:spPr>
            <a:ln w="12700">
              <a:solidFill>
                <a:srgbClr val="000000"/>
              </a:solidFill>
              <a:prstDash val="solid"/>
            </a:ln>
          </c:spPr>
          <c:marker>
            <c:symbol val="circle"/>
            <c:size val="7"/>
            <c:spPr>
              <a:solidFill>
                <a:srgbClr val="FFFFFF"/>
              </a:solidFill>
              <a:ln cap="rnd">
                <a:solidFill>
                  <a:srgbClr val="000000"/>
                </a:solidFill>
                <a:prstDash val="solid"/>
              </a:ln>
            </c:spPr>
          </c:marker>
          <c:cat>
            <c:strRef>
              <c:f>'Ⅲ-1-(5)_AAｾｸﾞﾒﾝﾄ会員数および外部落札'!$V$15:$AF$16</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'Ⅲ-1-(5)_AAｾｸﾞﾒﾝﾄ会員数および外部落札'!$V$21:$AF$21</c:f>
              <c:numCache>
                <c:formatCode>0.0_ </c:formatCode>
                <c:ptCount val="11"/>
                <c:pt idx="0">
                  <c:v>48.8</c:v>
                </c:pt>
                <c:pt idx="1">
                  <c:v>49.2</c:v>
                </c:pt>
                <c:pt idx="2">
                  <c:v>48.5</c:v>
                </c:pt>
                <c:pt idx="3">
                  <c:v>47.5</c:v>
                </c:pt>
                <c:pt idx="4">
                  <c:v>48</c:v>
                </c:pt>
                <c:pt idx="5">
                  <c:v>53.6</c:v>
                </c:pt>
                <c:pt idx="6">
                  <c:v>52.800000000000004</c:v>
                </c:pt>
                <c:pt idx="7">
                  <c:v>51.4</c:v>
                </c:pt>
                <c:pt idx="8">
                  <c:v>52.5</c:v>
                </c:pt>
                <c:pt idx="9">
                  <c:v>53.1</c:v>
                </c:pt>
                <c:pt idx="10">
                  <c:v>51.6</c:v>
                </c:pt>
              </c:numCache>
            </c:numRef>
          </c:val>
          <c:smooth val="0"/>
          <c:extLst>
            <c:ext xmlns:c16="http://schemas.microsoft.com/office/drawing/2014/chart" uri="{C3380CC4-5D6E-409C-BE32-E72D297353CC}">
              <c16:uniqueId val="{00000002-AC7A-48FD-9BFD-538144897FD2}"/>
            </c:ext>
          </c:extLst>
        </c:ser>
        <c:dLbls>
          <c:showLegendKey val="0"/>
          <c:showVal val="0"/>
          <c:showCatName val="0"/>
          <c:showSerName val="0"/>
          <c:showPercent val="0"/>
          <c:showBubbleSize val="0"/>
        </c:dLbls>
        <c:marker val="1"/>
        <c:smooth val="0"/>
        <c:axId val="758137432"/>
        <c:axId val="756596232"/>
      </c:lineChart>
      <c:catAx>
        <c:axId val="7581366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600"/>
            </a:pPr>
            <a:endParaRPr lang="ja-JP"/>
          </a:p>
        </c:txPr>
        <c:crossAx val="758137040"/>
        <c:crosses val="autoZero"/>
        <c:auto val="1"/>
        <c:lblAlgn val="ctr"/>
        <c:lblOffset val="100"/>
        <c:tickLblSkip val="1"/>
        <c:tickMarkSkip val="1"/>
        <c:noMultiLvlLbl val="0"/>
      </c:catAx>
      <c:valAx>
        <c:axId val="758137040"/>
        <c:scaling>
          <c:orientation val="minMax"/>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600"/>
            </a:pPr>
            <a:endParaRPr lang="ja-JP"/>
          </a:p>
        </c:txPr>
        <c:crossAx val="758136648"/>
        <c:crosses val="autoZero"/>
        <c:crossBetween val="between"/>
        <c:majorUnit val="200000"/>
      </c:valAx>
      <c:catAx>
        <c:axId val="758137432"/>
        <c:scaling>
          <c:orientation val="minMax"/>
        </c:scaling>
        <c:delete val="1"/>
        <c:axPos val="b"/>
        <c:numFmt formatCode="General" sourceLinked="1"/>
        <c:majorTickMark val="out"/>
        <c:minorTickMark val="none"/>
        <c:tickLblPos val="nextTo"/>
        <c:crossAx val="756596232"/>
        <c:crosses val="autoZero"/>
        <c:auto val="1"/>
        <c:lblAlgn val="ctr"/>
        <c:lblOffset val="100"/>
        <c:noMultiLvlLbl val="0"/>
      </c:catAx>
      <c:valAx>
        <c:axId val="756596232"/>
        <c:scaling>
          <c:orientation val="minMax"/>
          <c:max val="60"/>
          <c:min val="30"/>
        </c:scaling>
        <c:delete val="0"/>
        <c:axPos val="r"/>
        <c:numFmt formatCode="0.0_ " sourceLinked="1"/>
        <c:majorTickMark val="in"/>
        <c:minorTickMark val="none"/>
        <c:tickLblPos val="nextTo"/>
        <c:spPr>
          <a:ln w="3175">
            <a:solidFill>
              <a:srgbClr val="000000"/>
            </a:solidFill>
            <a:prstDash val="solid"/>
          </a:ln>
        </c:spPr>
        <c:txPr>
          <a:bodyPr rot="0" vert="horz"/>
          <a:lstStyle/>
          <a:p>
            <a:pPr>
              <a:defRPr sz="600"/>
            </a:pPr>
            <a:endParaRPr lang="ja-JP"/>
          </a:p>
        </c:txPr>
        <c:crossAx val="758137432"/>
        <c:crosses val="max"/>
        <c:crossBetween val="between"/>
      </c:valAx>
      <c:spPr>
        <a:solidFill>
          <a:srgbClr val="FFFFFF"/>
        </a:solidFill>
        <a:ln w="12700">
          <a:noFill/>
          <a:prstDash val="solid"/>
        </a:ln>
      </c:spPr>
    </c:plotArea>
    <c:legend>
      <c:legendPos val="r"/>
      <c:layout>
        <c:manualLayout>
          <c:xMode val="edge"/>
          <c:yMode val="edge"/>
          <c:x val="0.32482308557972256"/>
          <c:y val="3.6835899416816213E-3"/>
          <c:w val="0.64554039495868998"/>
          <c:h val="0.11614474590063539"/>
        </c:manualLayout>
      </c:layout>
      <c:overlay val="0"/>
      <c:txPr>
        <a:bodyPr/>
        <a:lstStyle/>
        <a:p>
          <a:pPr>
            <a:defRPr sz="600"/>
          </a:pPr>
          <a:endParaRPr lang="ja-JP"/>
        </a:p>
      </c:txPr>
    </c:legend>
    <c:plotVisOnly val="0"/>
    <c:dispBlanksAs val="gap"/>
    <c:showDLblsOverMax val="0"/>
  </c:chart>
  <c:spPr>
    <a:noFill/>
    <a:ln w="12700">
      <a:noFill/>
      <a:prstDash val="solid"/>
    </a:ln>
  </c:spPr>
  <c:txPr>
    <a:bodyPr/>
    <a:lstStyle/>
    <a:p>
      <a:pPr>
        <a:defRPr sz="1025" b="0" i="0" u="none" strike="noStrike" baseline="0">
          <a:solidFill>
            <a:srgbClr val="000000"/>
          </a:solidFill>
          <a:latin typeface="+mn-lt"/>
          <a:ea typeface="+mn-ea"/>
          <a:cs typeface="ＭＳ Ｐゴシック"/>
        </a:defRPr>
      </a:pPr>
      <a:endParaRPr lang="ja-JP"/>
    </a:p>
  </c:txPr>
  <c:printSettings>
    <c:headerFooter alignWithMargins="0"/>
    <c:pageMargins b="1" l="0.75" r="0.75" t="1" header="0.51200000000000001" footer="0.51200000000000001"/>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066305618517669E-2"/>
          <c:y val="0.18038955592422429"/>
          <c:w val="0.77300810933238384"/>
          <c:h val="0.45234080852280428"/>
        </c:manualLayout>
      </c:layout>
      <c:barChart>
        <c:barDir val="col"/>
        <c:grouping val="clustered"/>
        <c:varyColors val="0"/>
        <c:ser>
          <c:idx val="0"/>
          <c:order val="0"/>
          <c:tx>
            <c:strRef>
              <c:f>'Ⅲ-1-(6)_AAｾｸﾞﾒﾝﾄﾊﾞｲｸｵｰｸｼｮﾝ実績'!$U$19:$V$19</c:f>
              <c:strCache>
                <c:ptCount val="2"/>
                <c:pt idx="0">
                  <c:v>横浜
Yokohama</c:v>
                </c:pt>
              </c:strCache>
            </c:strRef>
          </c:tx>
          <c:spPr>
            <a:solidFill>
              <a:srgbClr val="386AAE"/>
            </a:solidFill>
            <a:ln w="12700">
              <a:noFill/>
              <a:prstDash val="solid"/>
            </a:ln>
          </c:spPr>
          <c:invertIfNegative val="0"/>
          <c:cat>
            <c:strRef>
              <c:f>'Ⅲ-1-(6)_AAｾｸﾞﾒﾝﾄﾊﾞｲｸｵｰｸｼｮﾝ実績'!$W$18:$AG$18</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'Ⅲ-1-(6)_AAｾｸﾞﾒﾝﾄﾊﾞｲｸｵｰｸｼｮﾝ実績'!$W$19:$AG$19</c:f>
              <c:numCache>
                <c:formatCode>General</c:formatCode>
                <c:ptCount val="11"/>
                <c:pt idx="0" formatCode="#,##0;&quot;▲ &quot;#,##0">
                  <c:v>63109</c:v>
                </c:pt>
                <c:pt idx="1">
                  <c:v>58351</c:v>
                </c:pt>
                <c:pt idx="2">
                  <c:v>58369</c:v>
                </c:pt>
                <c:pt idx="3">
                  <c:v>62905</c:v>
                </c:pt>
                <c:pt idx="4">
                  <c:v>61841</c:v>
                </c:pt>
                <c:pt idx="5">
                  <c:v>65995</c:v>
                </c:pt>
                <c:pt idx="6">
                  <c:v>69258</c:v>
                </c:pt>
                <c:pt idx="7">
                  <c:v>78875</c:v>
                </c:pt>
                <c:pt idx="8">
                  <c:v>77969</c:v>
                </c:pt>
                <c:pt idx="9">
                  <c:v>85236</c:v>
                </c:pt>
                <c:pt idx="10" formatCode="#,##0;&quot;▲ &quot;#,##0">
                  <c:v>90594</c:v>
                </c:pt>
              </c:numCache>
            </c:numRef>
          </c:val>
          <c:extLst>
            <c:ext xmlns:c16="http://schemas.microsoft.com/office/drawing/2014/chart" uri="{C3380CC4-5D6E-409C-BE32-E72D297353CC}">
              <c16:uniqueId val="{00000000-0FEB-462A-95DB-C8700D4CC6E1}"/>
            </c:ext>
          </c:extLst>
        </c:ser>
        <c:ser>
          <c:idx val="1"/>
          <c:order val="1"/>
          <c:tx>
            <c:strRef>
              <c:f>'Ⅲ-1-(6)_AAｾｸﾞﾒﾝﾄﾊﾞｲｸｵｰｸｼｮﾝ実績'!$U$20:$V$20</c:f>
              <c:strCache>
                <c:ptCount val="2"/>
                <c:pt idx="0">
                  <c:v>神戸
Kobe</c:v>
                </c:pt>
              </c:strCache>
            </c:strRef>
          </c:tx>
          <c:spPr>
            <a:solidFill>
              <a:schemeClr val="bg1">
                <a:lumMod val="75000"/>
              </a:schemeClr>
            </a:solidFill>
            <a:ln w="12700">
              <a:noFill/>
              <a:prstDash val="solid"/>
            </a:ln>
          </c:spPr>
          <c:invertIfNegative val="0"/>
          <c:cat>
            <c:strRef>
              <c:f>'Ⅲ-1-(6)_AAｾｸﾞﾒﾝﾄﾊﾞｲｸｵｰｸｼｮﾝ実績'!$W$18:$AG$18</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'Ⅲ-1-(6)_AAｾｸﾞﾒﾝﾄﾊﾞｲｸｵｰｸｼｮﾝ実績'!$W$20:$AG$20</c:f>
              <c:numCache>
                <c:formatCode>General</c:formatCode>
                <c:ptCount val="11"/>
                <c:pt idx="0">
                  <c:v>49933</c:v>
                </c:pt>
                <c:pt idx="1">
                  <c:v>48719</c:v>
                </c:pt>
                <c:pt idx="2">
                  <c:v>51049</c:v>
                </c:pt>
                <c:pt idx="3">
                  <c:v>53403</c:v>
                </c:pt>
                <c:pt idx="4">
                  <c:v>54009</c:v>
                </c:pt>
                <c:pt idx="5">
                  <c:v>53801</c:v>
                </c:pt>
                <c:pt idx="6">
                  <c:v>55742</c:v>
                </c:pt>
                <c:pt idx="7">
                  <c:v>58164</c:v>
                </c:pt>
                <c:pt idx="8">
                  <c:v>58988</c:v>
                </c:pt>
                <c:pt idx="9">
                  <c:v>57973</c:v>
                </c:pt>
                <c:pt idx="10" formatCode="#,##0;&quot;▲ &quot;#,##0">
                  <c:v>68308</c:v>
                </c:pt>
              </c:numCache>
            </c:numRef>
          </c:val>
          <c:extLst>
            <c:ext xmlns:c16="http://schemas.microsoft.com/office/drawing/2014/chart" uri="{C3380CC4-5D6E-409C-BE32-E72D297353CC}">
              <c16:uniqueId val="{00000001-0FEB-462A-95DB-C8700D4CC6E1}"/>
            </c:ext>
          </c:extLst>
        </c:ser>
        <c:dLbls>
          <c:showLegendKey val="0"/>
          <c:showVal val="0"/>
          <c:showCatName val="0"/>
          <c:showSerName val="0"/>
          <c:showPercent val="0"/>
          <c:showBubbleSize val="0"/>
        </c:dLbls>
        <c:gapWidth val="150"/>
        <c:axId val="756597408"/>
        <c:axId val="756597800"/>
      </c:barChart>
      <c:lineChart>
        <c:grouping val="standard"/>
        <c:varyColors val="0"/>
        <c:ser>
          <c:idx val="2"/>
          <c:order val="2"/>
          <c:tx>
            <c:strRef>
              <c:f>'Ⅲ-1-(6)_AAｾｸﾞﾒﾝﾄﾊﾞｲｸｵｰｸｼｮﾝ実績'!$U$21:$V$21</c:f>
              <c:strCache>
                <c:ptCount val="2"/>
                <c:pt idx="0">
                  <c:v>成約率
Contract 
Completion Rate</c:v>
                </c:pt>
              </c:strCache>
            </c:strRef>
          </c:tx>
          <c:spPr>
            <a:ln w="12700">
              <a:solidFill>
                <a:srgbClr val="000000"/>
              </a:solidFill>
              <a:prstDash val="solid"/>
            </a:ln>
          </c:spPr>
          <c:marker>
            <c:symbol val="circle"/>
            <c:size val="7"/>
            <c:spPr>
              <a:solidFill>
                <a:schemeClr val="bg1"/>
              </a:solidFill>
              <a:ln cap="rnd">
                <a:solidFill>
                  <a:srgbClr val="000000"/>
                </a:solidFill>
                <a:prstDash val="solid"/>
              </a:ln>
            </c:spPr>
          </c:marker>
          <c:cat>
            <c:strRef>
              <c:f>'Ⅲ-1-(6)_AAｾｸﾞﾒﾝﾄﾊﾞｲｸｵｰｸｼｮﾝ実績'!$W$18:$AG$18</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'Ⅲ-1-(6)_AAｾｸﾞﾒﾝﾄﾊﾞｲｸｵｰｸｼｮﾝ実績'!$W$21:$AG$21</c:f>
              <c:numCache>
                <c:formatCode>General</c:formatCode>
                <c:ptCount val="11"/>
                <c:pt idx="0">
                  <c:v>95.3</c:v>
                </c:pt>
                <c:pt idx="1">
                  <c:v>92.6</c:v>
                </c:pt>
                <c:pt idx="2">
                  <c:v>91.2</c:v>
                </c:pt>
                <c:pt idx="3">
                  <c:v>89.7</c:v>
                </c:pt>
                <c:pt idx="4">
                  <c:v>90.8</c:v>
                </c:pt>
                <c:pt idx="5">
                  <c:v>90.2</c:v>
                </c:pt>
                <c:pt idx="6">
                  <c:v>87.2</c:v>
                </c:pt>
                <c:pt idx="7">
                  <c:v>88.9</c:v>
                </c:pt>
                <c:pt idx="8">
                  <c:v>85.7</c:v>
                </c:pt>
                <c:pt idx="9">
                  <c:v>85.6</c:v>
                </c:pt>
                <c:pt idx="10" formatCode="#,##0.0;&quot;▲ &quot;#,##0.0">
                  <c:v>82.6</c:v>
                </c:pt>
              </c:numCache>
            </c:numRef>
          </c:val>
          <c:smooth val="0"/>
          <c:extLst>
            <c:ext xmlns:c16="http://schemas.microsoft.com/office/drawing/2014/chart" uri="{C3380CC4-5D6E-409C-BE32-E72D297353CC}">
              <c16:uniqueId val="{00000002-0FEB-462A-95DB-C8700D4CC6E1}"/>
            </c:ext>
          </c:extLst>
        </c:ser>
        <c:dLbls>
          <c:showLegendKey val="0"/>
          <c:showVal val="0"/>
          <c:showCatName val="0"/>
          <c:showSerName val="0"/>
          <c:showPercent val="0"/>
          <c:showBubbleSize val="0"/>
        </c:dLbls>
        <c:marker val="1"/>
        <c:smooth val="0"/>
        <c:axId val="757128960"/>
        <c:axId val="757129352"/>
      </c:lineChart>
      <c:catAx>
        <c:axId val="7565974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a:pPr>
            <a:endParaRPr lang="ja-JP"/>
          </a:p>
        </c:txPr>
        <c:crossAx val="756597800"/>
        <c:crosses val="autoZero"/>
        <c:auto val="1"/>
        <c:lblAlgn val="ctr"/>
        <c:lblOffset val="100"/>
        <c:tickLblSkip val="1"/>
        <c:tickMarkSkip val="1"/>
        <c:noMultiLvlLbl val="0"/>
      </c:catAx>
      <c:valAx>
        <c:axId val="756597800"/>
        <c:scaling>
          <c:orientation val="minMax"/>
          <c:max val="100000"/>
          <c:min val="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800"/>
            </a:pPr>
            <a:endParaRPr lang="ja-JP"/>
          </a:p>
        </c:txPr>
        <c:crossAx val="756597408"/>
        <c:crosses val="autoZero"/>
        <c:crossBetween val="between"/>
        <c:majorUnit val="20000"/>
      </c:valAx>
      <c:catAx>
        <c:axId val="757128960"/>
        <c:scaling>
          <c:orientation val="minMax"/>
        </c:scaling>
        <c:delete val="1"/>
        <c:axPos val="b"/>
        <c:numFmt formatCode="General" sourceLinked="1"/>
        <c:majorTickMark val="out"/>
        <c:minorTickMark val="none"/>
        <c:tickLblPos val="nextTo"/>
        <c:crossAx val="757129352"/>
        <c:crosses val="autoZero"/>
        <c:auto val="1"/>
        <c:lblAlgn val="ctr"/>
        <c:lblOffset val="100"/>
        <c:noMultiLvlLbl val="0"/>
      </c:catAx>
      <c:valAx>
        <c:axId val="757129352"/>
        <c:scaling>
          <c:orientation val="minMax"/>
          <c:max val="100"/>
          <c:min val="50"/>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800"/>
            </a:pPr>
            <a:endParaRPr lang="ja-JP"/>
          </a:p>
        </c:txPr>
        <c:crossAx val="757128960"/>
        <c:crosses val="max"/>
        <c:crossBetween val="between"/>
        <c:majorUnit val="10"/>
        <c:minorUnit val="10"/>
      </c:valAx>
      <c:spPr>
        <a:noFill/>
        <a:ln w="12700">
          <a:noFill/>
          <a:prstDash val="solid"/>
        </a:ln>
      </c:spPr>
    </c:plotArea>
    <c:legend>
      <c:legendPos val="r"/>
      <c:layout>
        <c:manualLayout>
          <c:xMode val="edge"/>
          <c:yMode val="edge"/>
          <c:x val="0.86145549673930655"/>
          <c:y val="0.1958884403482932"/>
          <c:w val="0.13217015328705214"/>
          <c:h val="0.46394949908363364"/>
        </c:manualLayout>
      </c:layout>
      <c:overlay val="0"/>
      <c:spPr>
        <a:solidFill>
          <a:srgbClr val="FFFFFF"/>
        </a:solidFill>
        <a:ln w="3175">
          <a:noFill/>
          <a:prstDash val="solid"/>
        </a:ln>
      </c:spPr>
      <c:txPr>
        <a:bodyPr/>
        <a:lstStyle/>
        <a:p>
          <a:pPr>
            <a:defRPr sz="800"/>
          </a:pPr>
          <a:endParaRPr lang="ja-JP"/>
        </a:p>
      </c:txPr>
    </c:legend>
    <c:plotVisOnly val="0"/>
    <c:dispBlanksAs val="gap"/>
    <c:showDLblsOverMax val="0"/>
  </c:chart>
  <c:spPr>
    <a:noFill/>
    <a:ln w="12700">
      <a:noFill/>
      <a:prstDash val="solid"/>
    </a:ln>
  </c:spPr>
  <c:txPr>
    <a:bodyPr/>
    <a:lstStyle/>
    <a:p>
      <a:pPr>
        <a:defRPr sz="950" b="0" i="0" u="none" strike="noStrike" baseline="0">
          <a:solidFill>
            <a:srgbClr val="000000"/>
          </a:solidFill>
          <a:latin typeface="+mn-lt"/>
          <a:ea typeface="+mn-ea"/>
          <a:cs typeface="ＭＳ Ｐ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738096412887943E-2"/>
          <c:y val="0.20422535211267606"/>
          <c:w val="0.63650099628953782"/>
          <c:h val="0.67783396739357848"/>
        </c:manualLayout>
      </c:layout>
      <c:barChart>
        <c:barDir val="col"/>
        <c:grouping val="stacked"/>
        <c:varyColors val="0"/>
        <c:ser>
          <c:idx val="0"/>
          <c:order val="0"/>
          <c:tx>
            <c:strRef>
              <c:f>'Ⅲ-1-(7)_中古車買取販売ｾｸﾞﾒﾝﾄ売上推移'!$U$22</c:f>
              <c:strCache>
                <c:ptCount val="1"/>
                <c:pt idx="0">
                  <c:v>中古自動車買取販売
Used Vehicle Sales/Purchases</c:v>
                </c:pt>
              </c:strCache>
            </c:strRef>
          </c:tx>
          <c:spPr>
            <a:solidFill>
              <a:srgbClr val="C55862"/>
            </a:solidFill>
            <a:ln w="12700">
              <a:noFill/>
              <a:prstDash val="solid"/>
            </a:ln>
          </c:spPr>
          <c:invertIfNegative val="0"/>
          <c:cat>
            <c:strRef>
              <c:f>'Ⅲ-1-(7)_中古車買取販売ｾｸﾞﾒﾝﾄ売上推移'!$W$20:$AG$20</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'Ⅲ-1-(7)_中古車買取販売ｾｸﾞﾒﾝﾄ売上推移'!$W$22:$AG$22</c:f>
              <c:numCache>
                <c:formatCode>#,##0,,;[Red]\-#,##0,,</c:formatCode>
                <c:ptCount val="11"/>
                <c:pt idx="0">
                  <c:v>6765000000</c:v>
                </c:pt>
                <c:pt idx="1">
                  <c:v>5804000000</c:v>
                </c:pt>
                <c:pt idx="2">
                  <c:v>5866000000</c:v>
                </c:pt>
                <c:pt idx="3">
                  <c:v>5702000000</c:v>
                </c:pt>
                <c:pt idx="4">
                  <c:v>5059000000</c:v>
                </c:pt>
                <c:pt idx="5">
                  <c:v>4947000000</c:v>
                </c:pt>
                <c:pt idx="6">
                  <c:v>5296000000</c:v>
                </c:pt>
                <c:pt idx="7">
                  <c:v>6187000000</c:v>
                </c:pt>
                <c:pt idx="8">
                  <c:v>6865000000</c:v>
                </c:pt>
                <c:pt idx="9">
                  <c:v>7307000000</c:v>
                </c:pt>
                <c:pt idx="10">
                  <c:v>7432000000</c:v>
                </c:pt>
              </c:numCache>
            </c:numRef>
          </c:val>
          <c:extLst>
            <c:ext xmlns:c16="http://schemas.microsoft.com/office/drawing/2014/chart" uri="{C3380CC4-5D6E-409C-BE32-E72D297353CC}">
              <c16:uniqueId val="{00000000-44ED-4172-83A6-7B30013928CA}"/>
            </c:ext>
          </c:extLst>
        </c:ser>
        <c:ser>
          <c:idx val="1"/>
          <c:order val="1"/>
          <c:tx>
            <c:strRef>
              <c:f>'Ⅲ-1-(7)_中古車買取販売ｾｸﾞﾒﾝﾄ売上推移'!$U$25</c:f>
              <c:strCache>
                <c:ptCount val="1"/>
                <c:pt idx="0">
                  <c:v>事故現状車買取販売
Accident-damaged Vehicle Sales/Purchases</c:v>
                </c:pt>
              </c:strCache>
            </c:strRef>
          </c:tx>
          <c:spPr>
            <a:solidFill>
              <a:srgbClr val="BDC3C4"/>
            </a:solidFill>
            <a:ln w="12700">
              <a:noFill/>
              <a:prstDash val="solid"/>
            </a:ln>
          </c:spPr>
          <c:invertIfNegative val="0"/>
          <c:cat>
            <c:strRef>
              <c:f>'Ⅲ-1-(7)_中古車買取販売ｾｸﾞﾒﾝﾄ売上推移'!$W$20:$AG$20</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'Ⅲ-1-(7)_中古車買取販売ｾｸﾞﾒﾝﾄ売上推移'!$W$25:$AG$25</c:f>
              <c:numCache>
                <c:formatCode>#,##0,,;[Red]\-#,##0,,</c:formatCode>
                <c:ptCount val="11"/>
                <c:pt idx="0">
                  <c:v>3331000000</c:v>
                </c:pt>
                <c:pt idx="1">
                  <c:v>3568000000</c:v>
                </c:pt>
                <c:pt idx="2">
                  <c:v>3960000000</c:v>
                </c:pt>
                <c:pt idx="3">
                  <c:v>3998000000</c:v>
                </c:pt>
                <c:pt idx="4">
                  <c:v>4040000000</c:v>
                </c:pt>
                <c:pt idx="5">
                  <c:v>3699000000</c:v>
                </c:pt>
                <c:pt idx="6">
                  <c:v>4004000000</c:v>
                </c:pt>
                <c:pt idx="7">
                  <c:v>4204000000</c:v>
                </c:pt>
                <c:pt idx="8">
                  <c:v>4566000000</c:v>
                </c:pt>
                <c:pt idx="9">
                  <c:v>5344000000</c:v>
                </c:pt>
                <c:pt idx="10">
                  <c:v>5038000000</c:v>
                </c:pt>
              </c:numCache>
            </c:numRef>
          </c:val>
          <c:extLst>
            <c:ext xmlns:c16="http://schemas.microsoft.com/office/drawing/2014/chart" uri="{C3380CC4-5D6E-409C-BE32-E72D297353CC}">
              <c16:uniqueId val="{00000001-44ED-4172-83A6-7B30013928CA}"/>
            </c:ext>
          </c:extLst>
        </c:ser>
        <c:dLbls>
          <c:showLegendKey val="0"/>
          <c:showVal val="0"/>
          <c:showCatName val="0"/>
          <c:showSerName val="0"/>
          <c:showPercent val="0"/>
          <c:showBubbleSize val="0"/>
        </c:dLbls>
        <c:gapWidth val="150"/>
        <c:overlap val="100"/>
        <c:axId val="757130136"/>
        <c:axId val="757130528"/>
      </c:barChart>
      <c:lineChart>
        <c:grouping val="standard"/>
        <c:varyColors val="0"/>
        <c:ser>
          <c:idx val="2"/>
          <c:order val="2"/>
          <c:tx>
            <c:strRef>
              <c:f>'Ⅲ-1-(7)_中古車買取販売ｾｸﾞﾒﾝﾄ売上推移'!$U$30</c:f>
              <c:strCache>
                <c:ptCount val="1"/>
                <c:pt idx="0">
                  <c:v>中古自動車等買取販売計
営業利益率
Used Vehicle Sales/Purchases Business Total Operating Margin</c:v>
                </c:pt>
              </c:strCache>
            </c:strRef>
          </c:tx>
          <c:spPr>
            <a:ln w="12700">
              <a:solidFill>
                <a:srgbClr val="000000"/>
              </a:solidFill>
              <a:prstDash val="solid"/>
            </a:ln>
          </c:spPr>
          <c:marker>
            <c:symbol val="circle"/>
            <c:size val="7"/>
            <c:spPr>
              <a:solidFill>
                <a:srgbClr val="FFFFFF"/>
              </a:solidFill>
              <a:ln cap="rnd">
                <a:solidFill>
                  <a:srgbClr val="000000"/>
                </a:solidFill>
                <a:prstDash val="solid"/>
              </a:ln>
            </c:spPr>
          </c:marker>
          <c:dPt>
            <c:idx val="0"/>
            <c:bubble3D val="0"/>
            <c:spPr>
              <a:ln w="28575">
                <a:noFill/>
              </a:ln>
            </c:spPr>
            <c:extLst>
              <c:ext xmlns:c16="http://schemas.microsoft.com/office/drawing/2014/chart" uri="{C3380CC4-5D6E-409C-BE32-E72D297353CC}">
                <c16:uniqueId val="{00000003-44ED-4172-83A6-7B30013928CA}"/>
              </c:ext>
            </c:extLst>
          </c:dPt>
          <c:dPt>
            <c:idx val="1"/>
            <c:bubble3D val="0"/>
            <c:extLst>
              <c:ext xmlns:c16="http://schemas.microsoft.com/office/drawing/2014/chart" uri="{C3380CC4-5D6E-409C-BE32-E72D297353CC}">
                <c16:uniqueId val="{00000004-44ED-4172-83A6-7B30013928CA}"/>
              </c:ext>
            </c:extLst>
          </c:dPt>
          <c:cat>
            <c:strRef>
              <c:f>'Ⅲ-1-(7)_中古車買取販売ｾｸﾞﾒﾝﾄ売上推移'!$W$20:$AG$20</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'Ⅲ-1-(7)_中古車買取販売ｾｸﾞﾒﾝﾄ売上推移'!$W$30:$AG$30</c:f>
              <c:numCache>
                <c:formatCode>0.0;"▲ "0.0</c:formatCode>
                <c:ptCount val="11"/>
                <c:pt idx="0">
                  <c:v>4.8091891564635674</c:v>
                </c:pt>
                <c:pt idx="1">
                  <c:v>2.1580713940196472</c:v>
                </c:pt>
                <c:pt idx="2">
                  <c:v>1.7493846957281469</c:v>
                </c:pt>
                <c:pt idx="3">
                  <c:v>1.2017836345244559</c:v>
                </c:pt>
                <c:pt idx="4">
                  <c:v>1.1365561189622437</c:v>
                </c:pt>
                <c:pt idx="5">
                  <c:v>3.1428579748027006</c:v>
                </c:pt>
                <c:pt idx="6">
                  <c:v>1.4657180582780478</c:v>
                </c:pt>
                <c:pt idx="7">
                  <c:v>1.2512186446156874</c:v>
                </c:pt>
                <c:pt idx="8">
                  <c:v>2.8987713222302891</c:v>
                </c:pt>
                <c:pt idx="9">
                  <c:v>2.1848064192181713</c:v>
                </c:pt>
                <c:pt idx="10">
                  <c:v>3.052434988170547</c:v>
                </c:pt>
              </c:numCache>
            </c:numRef>
          </c:val>
          <c:smooth val="0"/>
          <c:extLst>
            <c:ext xmlns:c16="http://schemas.microsoft.com/office/drawing/2014/chart" uri="{C3380CC4-5D6E-409C-BE32-E72D297353CC}">
              <c16:uniqueId val="{00000005-44ED-4172-83A6-7B30013928CA}"/>
            </c:ext>
          </c:extLst>
        </c:ser>
        <c:dLbls>
          <c:showLegendKey val="0"/>
          <c:showVal val="0"/>
          <c:showCatName val="0"/>
          <c:showSerName val="0"/>
          <c:showPercent val="0"/>
          <c:showBubbleSize val="0"/>
        </c:dLbls>
        <c:marker val="1"/>
        <c:smooth val="0"/>
        <c:axId val="757551568"/>
        <c:axId val="757551960"/>
      </c:lineChart>
      <c:catAx>
        <c:axId val="757130136"/>
        <c:scaling>
          <c:orientation val="minMax"/>
        </c:scaling>
        <c:delete val="0"/>
        <c:axPos val="b"/>
        <c:numFmt formatCode="@" sourceLinked="0"/>
        <c:majorTickMark val="in"/>
        <c:minorTickMark val="none"/>
        <c:tickLblPos val="nextTo"/>
        <c:spPr>
          <a:ln w="3175">
            <a:solidFill>
              <a:srgbClr val="000000"/>
            </a:solidFill>
            <a:prstDash val="solid"/>
          </a:ln>
        </c:spPr>
        <c:txPr>
          <a:bodyPr rot="0" vert="horz"/>
          <a:lstStyle/>
          <a:p>
            <a:pPr>
              <a:defRPr sz="700"/>
            </a:pPr>
            <a:endParaRPr lang="ja-JP"/>
          </a:p>
        </c:txPr>
        <c:crossAx val="757130528"/>
        <c:crosses val="autoZero"/>
        <c:auto val="1"/>
        <c:lblAlgn val="ctr"/>
        <c:lblOffset val="100"/>
        <c:tickLblSkip val="1"/>
        <c:tickMarkSkip val="1"/>
        <c:noMultiLvlLbl val="0"/>
      </c:catAx>
      <c:valAx>
        <c:axId val="757130528"/>
        <c:scaling>
          <c:orientation val="minMax"/>
          <c:max val="14000000000"/>
        </c:scaling>
        <c:delete val="0"/>
        <c:axPos val="l"/>
        <c:numFmt formatCode="#,##0,,;[Red]\-#,##0,," sourceLinked="0"/>
        <c:majorTickMark val="in"/>
        <c:minorTickMark val="none"/>
        <c:tickLblPos val="nextTo"/>
        <c:spPr>
          <a:ln w="3175">
            <a:solidFill>
              <a:srgbClr val="000000"/>
            </a:solidFill>
            <a:prstDash val="solid"/>
          </a:ln>
        </c:spPr>
        <c:txPr>
          <a:bodyPr rot="0" vert="horz"/>
          <a:lstStyle/>
          <a:p>
            <a:pPr>
              <a:defRPr sz="700"/>
            </a:pPr>
            <a:endParaRPr lang="ja-JP"/>
          </a:p>
        </c:txPr>
        <c:crossAx val="757130136"/>
        <c:crosses val="autoZero"/>
        <c:crossBetween val="between"/>
      </c:valAx>
      <c:catAx>
        <c:axId val="757551568"/>
        <c:scaling>
          <c:orientation val="minMax"/>
        </c:scaling>
        <c:delete val="1"/>
        <c:axPos val="b"/>
        <c:numFmt formatCode="General" sourceLinked="1"/>
        <c:majorTickMark val="out"/>
        <c:minorTickMark val="none"/>
        <c:tickLblPos val="nextTo"/>
        <c:crossAx val="757551960"/>
        <c:crosses val="autoZero"/>
        <c:auto val="1"/>
        <c:lblAlgn val="ctr"/>
        <c:lblOffset val="100"/>
        <c:noMultiLvlLbl val="0"/>
      </c:catAx>
      <c:valAx>
        <c:axId val="757551960"/>
        <c:scaling>
          <c:orientation val="minMax"/>
        </c:scaling>
        <c:delete val="0"/>
        <c:axPos val="r"/>
        <c:numFmt formatCode="0.0;&quot;▲ &quot;0.0" sourceLinked="1"/>
        <c:majorTickMark val="none"/>
        <c:minorTickMark val="none"/>
        <c:tickLblPos val="nextTo"/>
        <c:spPr>
          <a:ln w="3175">
            <a:solidFill>
              <a:srgbClr val="000000"/>
            </a:solidFill>
            <a:prstDash val="solid"/>
          </a:ln>
        </c:spPr>
        <c:txPr>
          <a:bodyPr rot="0" vert="horz"/>
          <a:lstStyle/>
          <a:p>
            <a:pPr>
              <a:defRPr sz="700"/>
            </a:pPr>
            <a:endParaRPr lang="ja-JP"/>
          </a:p>
        </c:txPr>
        <c:crossAx val="757551568"/>
        <c:crosses val="max"/>
        <c:crossBetween val="between"/>
      </c:valAx>
      <c:spPr>
        <a:solidFill>
          <a:srgbClr val="FFFFFF"/>
        </a:solidFill>
        <a:ln w="12700">
          <a:noFill/>
          <a:prstDash val="solid"/>
        </a:ln>
      </c:spPr>
    </c:plotArea>
    <c:legend>
      <c:legendPos val="r"/>
      <c:layout>
        <c:manualLayout>
          <c:xMode val="edge"/>
          <c:yMode val="edge"/>
          <c:x val="0.71819095833784263"/>
          <c:y val="0.11688042675435741"/>
          <c:w val="0.24165682310363415"/>
          <c:h val="0.74861426165231215"/>
        </c:manualLayout>
      </c:layout>
      <c:overlay val="0"/>
      <c:spPr>
        <a:solidFill>
          <a:srgbClr val="FFFFFF"/>
        </a:solidFill>
        <a:ln w="3175">
          <a:noFill/>
          <a:prstDash val="solid"/>
        </a:ln>
      </c:spPr>
      <c:txPr>
        <a:bodyPr/>
        <a:lstStyle/>
        <a:p>
          <a:pPr>
            <a:defRPr sz="800"/>
          </a:pPr>
          <a:endParaRPr lang="ja-JP"/>
        </a:p>
      </c:txPr>
    </c:legend>
    <c:plotVisOnly val="0"/>
    <c:dispBlanksAs val="gap"/>
    <c:showDLblsOverMax val="0"/>
  </c:chart>
  <c:spPr>
    <a:solidFill>
      <a:srgbClr val="FFFFFF"/>
    </a:solidFill>
    <a:ln w="12700">
      <a:noFill/>
      <a:prstDash val="solid"/>
    </a:ln>
  </c:spPr>
  <c:txPr>
    <a:bodyPr/>
    <a:lstStyle/>
    <a:p>
      <a:pPr>
        <a:defRPr sz="1000" b="0" i="0" u="none" strike="noStrike" baseline="0">
          <a:solidFill>
            <a:srgbClr val="000000"/>
          </a:solidFill>
          <a:latin typeface="+mn-lt"/>
          <a:ea typeface="+mn-ea"/>
          <a:cs typeface="ＭＳ Ｐゴシック"/>
        </a:defRPr>
      </a:pPr>
      <a:endParaRPr lang="ja-JP"/>
    </a:p>
  </c:txPr>
  <c:printSettings>
    <c:headerFooter alignWithMargins="0"/>
    <c:pageMargins b="1" l="0.75" r="0.75" t="1" header="0.51200000000000001" footer="0.51200000000000001"/>
    <c:pageSetup orientation="portrait"/>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94753512218873E-2"/>
          <c:y val="0.21454773377208447"/>
          <c:w val="0.59682854426774135"/>
          <c:h val="0.5331004818427546"/>
        </c:manualLayout>
      </c:layout>
      <c:barChart>
        <c:barDir val="col"/>
        <c:grouping val="stacked"/>
        <c:varyColors val="0"/>
        <c:ser>
          <c:idx val="1"/>
          <c:order val="0"/>
          <c:tx>
            <c:strRef>
              <c:f>'Ⅲ-1-(8)_ﾘｻｲｸﾙ7ｾｸﾞﾒﾝﾄ売上推移'!$U$38</c:f>
              <c:strCache>
                <c:ptCount val="1"/>
                <c:pt idx="0">
                  <c:v>資源リサイクル
Resource Recycling</c:v>
                </c:pt>
              </c:strCache>
            </c:strRef>
          </c:tx>
          <c:spPr>
            <a:solidFill>
              <a:srgbClr val="6DB27F"/>
            </a:solidFill>
            <a:ln w="12700">
              <a:noFill/>
              <a:prstDash val="solid"/>
            </a:ln>
          </c:spPr>
          <c:invertIfNegative val="0"/>
          <c:cat>
            <c:strRef>
              <c:f>'Ⅲ-1-(8)_ﾘｻｲｸﾙ7ｾｸﾞﾒﾝﾄ売上推移'!$W$37:$AG$37</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'Ⅲ-1-(8)_ﾘｻｲｸﾙ7ｾｸﾞﾒﾝﾄ売上推移'!$W$38:$AG$38</c:f>
              <c:numCache>
                <c:formatCode>#,##0,,;[Red]\-#,##0,,</c:formatCode>
                <c:ptCount val="11"/>
                <c:pt idx="0">
                  <c:v>4670000000</c:v>
                </c:pt>
                <c:pt idx="1">
                  <c:v>4512000000</c:v>
                </c:pt>
                <c:pt idx="2">
                  <c:v>5243000000</c:v>
                </c:pt>
                <c:pt idx="3">
                  <c:v>4913000000</c:v>
                </c:pt>
                <c:pt idx="4">
                  <c:v>4703000000</c:v>
                </c:pt>
                <c:pt idx="5">
                  <c:v>4146000000</c:v>
                </c:pt>
                <c:pt idx="6">
                  <c:v>5355000000</c:v>
                </c:pt>
                <c:pt idx="7">
                  <c:v>5059000000</c:v>
                </c:pt>
                <c:pt idx="8">
                  <c:v>5348000000</c:v>
                </c:pt>
                <c:pt idx="9">
                  <c:v>5364000000</c:v>
                </c:pt>
                <c:pt idx="10">
                  <c:v>5960000000</c:v>
                </c:pt>
              </c:numCache>
            </c:numRef>
          </c:val>
          <c:extLst>
            <c:ext xmlns:c16="http://schemas.microsoft.com/office/drawing/2014/chart" uri="{C3380CC4-5D6E-409C-BE32-E72D297353CC}">
              <c16:uniqueId val="{00000000-8484-4CB6-A3A6-3CA191A3F0FB}"/>
            </c:ext>
          </c:extLst>
        </c:ser>
        <c:ser>
          <c:idx val="0"/>
          <c:order val="1"/>
          <c:tx>
            <c:strRef>
              <c:f>'Ⅲ-1-(8)_ﾘｻｲｸﾙ7ｾｸﾞﾒﾝﾄ売上推移'!$U$41</c:f>
              <c:strCache>
                <c:ptCount val="1"/>
                <c:pt idx="0">
                  <c:v>プラントリサイクル
Industrial Plant Recycling</c:v>
                </c:pt>
              </c:strCache>
            </c:strRef>
          </c:tx>
          <c:spPr>
            <a:solidFill>
              <a:schemeClr val="accent5">
                <a:lumMod val="40000"/>
                <a:lumOff val="60000"/>
              </a:schemeClr>
            </a:solidFill>
            <a:ln w="12700">
              <a:noFill/>
              <a:prstDash val="solid"/>
            </a:ln>
          </c:spPr>
          <c:invertIfNegative val="0"/>
          <c:cat>
            <c:strRef>
              <c:f>'Ⅲ-1-(8)_ﾘｻｲｸﾙ7ｾｸﾞﾒﾝﾄ売上推移'!$W$37:$AG$37</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'Ⅲ-1-(8)_ﾘｻｲｸﾙ7ｾｸﾞﾒﾝﾄ売上推移'!$W$41:$AG$41</c:f>
              <c:numCache>
                <c:formatCode>#,##0,,;[Red]\-#,##0,,</c:formatCode>
                <c:ptCount val="11"/>
                <c:pt idx="0">
                  <c:v>0</c:v>
                </c:pt>
                <c:pt idx="1">
                  <c:v>0</c:v>
                </c:pt>
                <c:pt idx="2">
                  <c:v>0</c:v>
                </c:pt>
                <c:pt idx="3">
                  <c:v>0</c:v>
                </c:pt>
                <c:pt idx="4">
                  <c:v>460000000</c:v>
                </c:pt>
                <c:pt idx="5">
                  <c:v>685000000</c:v>
                </c:pt>
                <c:pt idx="6">
                  <c:v>1885000000</c:v>
                </c:pt>
                <c:pt idx="7">
                  <c:v>3925000000</c:v>
                </c:pt>
                <c:pt idx="8">
                  <c:v>5181000000</c:v>
                </c:pt>
                <c:pt idx="9">
                  <c:v>3046000000</c:v>
                </c:pt>
                <c:pt idx="10">
                  <c:v>4335000000</c:v>
                </c:pt>
              </c:numCache>
            </c:numRef>
          </c:val>
          <c:extLst>
            <c:ext xmlns:c16="http://schemas.microsoft.com/office/drawing/2014/chart" uri="{C3380CC4-5D6E-409C-BE32-E72D297353CC}">
              <c16:uniqueId val="{00000001-8484-4CB6-A3A6-3CA191A3F0FB}"/>
            </c:ext>
          </c:extLst>
        </c:ser>
        <c:dLbls>
          <c:showLegendKey val="0"/>
          <c:showVal val="0"/>
          <c:showCatName val="0"/>
          <c:showSerName val="0"/>
          <c:showPercent val="0"/>
          <c:showBubbleSize val="0"/>
        </c:dLbls>
        <c:gapWidth val="150"/>
        <c:overlap val="100"/>
        <c:axId val="757553136"/>
        <c:axId val="758291512"/>
      </c:barChart>
      <c:lineChart>
        <c:grouping val="standard"/>
        <c:varyColors val="0"/>
        <c:ser>
          <c:idx val="3"/>
          <c:order val="2"/>
          <c:tx>
            <c:strRef>
              <c:f>'Ⅲ-1-(8)_ﾘｻｲｸﾙ7ｾｸﾞﾒﾝﾄ売上推移'!$U$44:$U$46</c:f>
              <c:strCache>
                <c:ptCount val="1"/>
                <c:pt idx="0">
                  <c:v>リサイクル　計　営業利益率
Recycling Business Total Operating Margin</c:v>
                </c:pt>
              </c:strCache>
            </c:strRef>
          </c:tx>
          <c:spPr>
            <a:ln w="12700">
              <a:solidFill>
                <a:srgbClr val="000000"/>
              </a:solidFill>
              <a:prstDash val="solid"/>
            </a:ln>
          </c:spPr>
          <c:marker>
            <c:symbol val="circle"/>
            <c:size val="7"/>
            <c:spPr>
              <a:solidFill>
                <a:srgbClr val="FFFFFF"/>
              </a:solidFill>
              <a:ln cap="rnd">
                <a:solidFill>
                  <a:srgbClr val="000000"/>
                </a:solidFill>
                <a:prstDash val="solid"/>
              </a:ln>
            </c:spPr>
          </c:marker>
          <c:dPt>
            <c:idx val="0"/>
            <c:bubble3D val="0"/>
            <c:extLst>
              <c:ext xmlns:c16="http://schemas.microsoft.com/office/drawing/2014/chart" uri="{C3380CC4-5D6E-409C-BE32-E72D297353CC}">
                <c16:uniqueId val="{00000005-8484-4CB6-A3A6-3CA191A3F0FB}"/>
              </c:ext>
            </c:extLst>
          </c:dPt>
          <c:dPt>
            <c:idx val="1"/>
            <c:bubble3D val="0"/>
            <c:extLst>
              <c:ext xmlns:c16="http://schemas.microsoft.com/office/drawing/2014/chart" uri="{C3380CC4-5D6E-409C-BE32-E72D297353CC}">
                <c16:uniqueId val="{00000006-8484-4CB6-A3A6-3CA191A3F0FB}"/>
              </c:ext>
            </c:extLst>
          </c:dPt>
          <c:dPt>
            <c:idx val="2"/>
            <c:bubble3D val="0"/>
            <c:extLst>
              <c:ext xmlns:c16="http://schemas.microsoft.com/office/drawing/2014/chart" uri="{C3380CC4-5D6E-409C-BE32-E72D297353CC}">
                <c16:uniqueId val="{00000007-8484-4CB6-A3A6-3CA191A3F0FB}"/>
              </c:ext>
            </c:extLst>
          </c:dPt>
          <c:dPt>
            <c:idx val="3"/>
            <c:bubble3D val="0"/>
            <c:extLst>
              <c:ext xmlns:c16="http://schemas.microsoft.com/office/drawing/2014/chart" uri="{C3380CC4-5D6E-409C-BE32-E72D297353CC}">
                <c16:uniqueId val="{00000008-8484-4CB6-A3A6-3CA191A3F0FB}"/>
              </c:ext>
            </c:extLst>
          </c:dPt>
          <c:cat>
            <c:strRef>
              <c:f>'Ⅲ-1-(8)_ﾘｻｲｸﾙ7ｾｸﾞﾒﾝﾄ売上推移'!$W$37:$AG$37</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'Ⅲ-1-(8)_ﾘｻｲｸﾙ7ｾｸﾞﾒﾝﾄ売上推移'!$W$46:$AG$46</c:f>
              <c:numCache>
                <c:formatCode>0.0;"▲ "0.0</c:formatCode>
                <c:ptCount val="11"/>
                <c:pt idx="0">
                  <c:v>3.6652563258643585</c:v>
                </c:pt>
                <c:pt idx="1">
                  <c:v>2.5483745259240171</c:v>
                </c:pt>
                <c:pt idx="2">
                  <c:v>11.532538843893409</c:v>
                </c:pt>
                <c:pt idx="3">
                  <c:v>9.7911105128847122</c:v>
                </c:pt>
                <c:pt idx="4">
                  <c:v>5.995616989690868</c:v>
                </c:pt>
                <c:pt idx="5">
                  <c:v>7.7886273496570997</c:v>
                </c:pt>
                <c:pt idx="6">
                  <c:v>15.779315212157707</c:v>
                </c:pt>
                <c:pt idx="7">
                  <c:v>14.844602599134097</c:v>
                </c:pt>
                <c:pt idx="8">
                  <c:v>11.059318635728371</c:v>
                </c:pt>
                <c:pt idx="9">
                  <c:v>6.4532803824080123</c:v>
                </c:pt>
                <c:pt idx="10">
                  <c:v>6.5434416016679817</c:v>
                </c:pt>
              </c:numCache>
            </c:numRef>
          </c:val>
          <c:smooth val="0"/>
          <c:extLst>
            <c:ext xmlns:c16="http://schemas.microsoft.com/office/drawing/2014/chart" uri="{C3380CC4-5D6E-409C-BE32-E72D297353CC}">
              <c16:uniqueId val="{00000009-8484-4CB6-A3A6-3CA191A3F0FB}"/>
            </c:ext>
          </c:extLst>
        </c:ser>
        <c:dLbls>
          <c:showLegendKey val="0"/>
          <c:showVal val="0"/>
          <c:showCatName val="0"/>
          <c:showSerName val="0"/>
          <c:showPercent val="0"/>
          <c:showBubbleSize val="0"/>
        </c:dLbls>
        <c:marker val="1"/>
        <c:smooth val="0"/>
        <c:axId val="758291904"/>
        <c:axId val="758292296"/>
      </c:lineChart>
      <c:catAx>
        <c:axId val="7575531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758291512"/>
        <c:crosses val="autoZero"/>
        <c:auto val="0"/>
        <c:lblAlgn val="ctr"/>
        <c:lblOffset val="100"/>
        <c:tickLblSkip val="1"/>
        <c:tickMarkSkip val="1"/>
        <c:noMultiLvlLbl val="0"/>
      </c:catAx>
      <c:valAx>
        <c:axId val="758291512"/>
        <c:scaling>
          <c:orientation val="minMax"/>
        </c:scaling>
        <c:delete val="0"/>
        <c:axPos val="l"/>
        <c:numFmt formatCode="#,##0,,;[Red]\-#,##0,," sourceLinked="0"/>
        <c:majorTickMark val="in"/>
        <c:minorTickMark val="none"/>
        <c:tickLblPos val="nextTo"/>
        <c:spPr>
          <a:ln w="3175">
            <a:solidFill>
              <a:srgbClr val="000000"/>
            </a:solidFill>
            <a:prstDash val="solid"/>
          </a:ln>
        </c:spPr>
        <c:txPr>
          <a:bodyPr rot="0" vert="horz"/>
          <a:lstStyle/>
          <a:p>
            <a:pPr>
              <a:defRPr sz="700"/>
            </a:pPr>
            <a:endParaRPr lang="ja-JP"/>
          </a:p>
        </c:txPr>
        <c:crossAx val="757553136"/>
        <c:crosses val="autoZero"/>
        <c:crossBetween val="between"/>
        <c:majorUnit val="2000000000"/>
      </c:valAx>
      <c:catAx>
        <c:axId val="758291904"/>
        <c:scaling>
          <c:orientation val="minMax"/>
        </c:scaling>
        <c:delete val="1"/>
        <c:axPos val="b"/>
        <c:numFmt formatCode="General" sourceLinked="1"/>
        <c:majorTickMark val="out"/>
        <c:minorTickMark val="none"/>
        <c:tickLblPos val="nextTo"/>
        <c:crossAx val="758292296"/>
        <c:crosses val="autoZero"/>
        <c:auto val="0"/>
        <c:lblAlgn val="ctr"/>
        <c:lblOffset val="100"/>
        <c:noMultiLvlLbl val="0"/>
      </c:catAx>
      <c:valAx>
        <c:axId val="758292296"/>
        <c:scaling>
          <c:orientation val="minMax"/>
          <c:max val="30"/>
          <c:min val="0"/>
        </c:scaling>
        <c:delete val="0"/>
        <c:axPos val="r"/>
        <c:numFmt formatCode="0.0;&quot;▲ &quot;0.0" sourceLinked="1"/>
        <c:majorTickMark val="in"/>
        <c:minorTickMark val="none"/>
        <c:tickLblPos val="nextTo"/>
        <c:spPr>
          <a:ln w="3175">
            <a:solidFill>
              <a:srgbClr val="000000"/>
            </a:solidFill>
            <a:prstDash val="solid"/>
          </a:ln>
        </c:spPr>
        <c:txPr>
          <a:bodyPr rot="0" vert="horz"/>
          <a:lstStyle/>
          <a:p>
            <a:pPr>
              <a:defRPr sz="700"/>
            </a:pPr>
            <a:endParaRPr lang="ja-JP"/>
          </a:p>
        </c:txPr>
        <c:crossAx val="758291904"/>
        <c:crosses val="max"/>
        <c:crossBetween val="between"/>
        <c:majorUnit val="10"/>
        <c:minorUnit val="10"/>
      </c:valAx>
      <c:spPr>
        <a:solidFill>
          <a:srgbClr val="FFFFFF"/>
        </a:solidFill>
        <a:ln w="12700">
          <a:noFill/>
          <a:prstDash val="solid"/>
        </a:ln>
      </c:spPr>
    </c:plotArea>
    <c:legend>
      <c:legendPos val="r"/>
      <c:legendEntry>
        <c:idx val="0"/>
        <c:txPr>
          <a:bodyPr/>
          <a:lstStyle/>
          <a:p>
            <a:pPr>
              <a:defRPr sz="600"/>
            </a:pPr>
            <a:endParaRPr lang="ja-JP"/>
          </a:p>
        </c:txPr>
      </c:legendEntry>
      <c:legendEntry>
        <c:idx val="1"/>
        <c:txPr>
          <a:bodyPr/>
          <a:lstStyle/>
          <a:p>
            <a:pPr>
              <a:defRPr sz="600"/>
            </a:pPr>
            <a:endParaRPr lang="ja-JP"/>
          </a:p>
        </c:txPr>
      </c:legendEntry>
      <c:legendEntry>
        <c:idx val="2"/>
        <c:txPr>
          <a:bodyPr/>
          <a:lstStyle/>
          <a:p>
            <a:pPr>
              <a:defRPr sz="600"/>
            </a:pPr>
            <a:endParaRPr lang="ja-JP"/>
          </a:p>
        </c:txPr>
      </c:legendEntry>
      <c:layout>
        <c:manualLayout>
          <c:xMode val="edge"/>
          <c:yMode val="edge"/>
          <c:x val="0.18582994424141239"/>
          <c:y val="8.190291774524229E-2"/>
          <c:w val="0.40327306204053104"/>
          <c:h val="0.24667787272812908"/>
        </c:manualLayout>
      </c:layout>
      <c:overlay val="0"/>
      <c:spPr>
        <a:noFill/>
        <a:ln w="3175">
          <a:noFill/>
          <a:prstDash val="solid"/>
        </a:ln>
      </c:spPr>
      <c:txPr>
        <a:bodyPr/>
        <a:lstStyle/>
        <a:p>
          <a:pPr>
            <a:defRPr sz="600"/>
          </a:pPr>
          <a:endParaRPr lang="ja-JP"/>
        </a:p>
      </c:txPr>
    </c:legend>
    <c:plotVisOnly val="0"/>
    <c:dispBlanksAs val="gap"/>
    <c:showDLblsOverMax val="0"/>
  </c:chart>
  <c:spPr>
    <a:noFill/>
    <a:ln w="3175">
      <a:noFill/>
      <a:prstDash val="solid"/>
    </a:ln>
  </c:spPr>
  <c:txPr>
    <a:bodyPr/>
    <a:lstStyle/>
    <a:p>
      <a:pPr>
        <a:defRPr sz="800" b="0" i="0" u="none" strike="noStrike" baseline="0">
          <a:solidFill>
            <a:srgbClr val="000000"/>
          </a:solidFill>
          <a:latin typeface="+mn-lt"/>
          <a:ea typeface="メイリオ" panose="020B0604030504040204" pitchFamily="50" charset="-128"/>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392303234822918E-2"/>
          <c:y val="0.17675350052609062"/>
          <c:w val="0.72341641256020739"/>
          <c:h val="0.70481300777720346"/>
        </c:manualLayout>
      </c:layout>
      <c:barChart>
        <c:barDir val="col"/>
        <c:grouping val="stacked"/>
        <c:varyColors val="0"/>
        <c:ser>
          <c:idx val="1"/>
          <c:order val="0"/>
          <c:tx>
            <c:strRef>
              <c:f>'Ⅱ-1-(2)_中古車輸出台数'!$S$23</c:f>
              <c:strCache>
                <c:ptCount val="1"/>
                <c:pt idx="0">
                  <c:v>アラブ首長国連邦　UAE</c:v>
                </c:pt>
              </c:strCache>
            </c:strRef>
          </c:tx>
          <c:spPr>
            <a:solidFill>
              <a:srgbClr val="004098"/>
            </a:solidFill>
            <a:ln w="12700">
              <a:noFill/>
              <a:prstDash val="solid"/>
            </a:ln>
          </c:spPr>
          <c:invertIfNegative val="0"/>
          <c:cat>
            <c:strRef>
              <c:f>'Ⅱ-1-(2)_中古車輸出台数'!$U$21:$AE$22</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'Ⅱ-1-(2)_中古車輸出台数'!$U$23:$AE$23</c:f>
              <c:numCache>
                <c:formatCode>#,##0_);[Red]\(#,##0\)</c:formatCode>
                <c:ptCount val="11"/>
                <c:pt idx="0">
                  <c:v>136212</c:v>
                </c:pt>
                <c:pt idx="1">
                  <c:v>151001</c:v>
                </c:pt>
                <c:pt idx="2">
                  <c:v>144323</c:v>
                </c:pt>
                <c:pt idx="3">
                  <c:v>126706</c:v>
                </c:pt>
                <c:pt idx="4">
                  <c:v>171505</c:v>
                </c:pt>
                <c:pt idx="5">
                  <c:v>135932</c:v>
                </c:pt>
                <c:pt idx="6">
                  <c:v>133233</c:v>
                </c:pt>
                <c:pt idx="7">
                  <c:v>150718</c:v>
                </c:pt>
                <c:pt idx="8">
                  <c:v>204404</c:v>
                </c:pt>
                <c:pt idx="9">
                  <c:v>226698</c:v>
                </c:pt>
                <c:pt idx="10">
                  <c:v>253814</c:v>
                </c:pt>
              </c:numCache>
            </c:numRef>
          </c:val>
          <c:extLst>
            <c:ext xmlns:c16="http://schemas.microsoft.com/office/drawing/2014/chart" uri="{C3380CC4-5D6E-409C-BE32-E72D297353CC}">
              <c16:uniqueId val="{00000000-C5E2-451C-A1C9-694C495DCC85}"/>
            </c:ext>
          </c:extLst>
        </c:ser>
        <c:ser>
          <c:idx val="0"/>
          <c:order val="1"/>
          <c:tx>
            <c:strRef>
              <c:f>'Ⅱ-1-(2)_中古車輸出台数'!$S$24</c:f>
              <c:strCache>
                <c:ptCount val="1"/>
                <c:pt idx="0">
                  <c:v>ロシア　Russia</c:v>
                </c:pt>
              </c:strCache>
            </c:strRef>
          </c:tx>
          <c:spPr>
            <a:solidFill>
              <a:srgbClr val="1DB1E1"/>
            </a:solidFill>
            <a:ln w="12700">
              <a:noFill/>
              <a:prstDash val="solid"/>
            </a:ln>
          </c:spPr>
          <c:invertIfNegative val="0"/>
          <c:cat>
            <c:strRef>
              <c:f>'Ⅱ-1-(2)_中古車輸出台数'!$U$21:$AE$22</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'Ⅱ-1-(2)_中古車輸出台数'!$U$24:$AE$24</c:f>
              <c:numCache>
                <c:formatCode>#,##0_);[Red]\(#,##0\)</c:formatCode>
                <c:ptCount val="11"/>
                <c:pt idx="0">
                  <c:v>49144</c:v>
                </c:pt>
                <c:pt idx="1">
                  <c:v>48244</c:v>
                </c:pt>
                <c:pt idx="2">
                  <c:v>69039</c:v>
                </c:pt>
                <c:pt idx="3">
                  <c:v>95074</c:v>
                </c:pt>
                <c:pt idx="4">
                  <c:v>122597</c:v>
                </c:pt>
                <c:pt idx="5">
                  <c:v>126418</c:v>
                </c:pt>
                <c:pt idx="6">
                  <c:v>162249</c:v>
                </c:pt>
                <c:pt idx="7">
                  <c:v>213526</c:v>
                </c:pt>
                <c:pt idx="8">
                  <c:v>218191</c:v>
                </c:pt>
                <c:pt idx="9">
                  <c:v>199098</c:v>
                </c:pt>
                <c:pt idx="10">
                  <c:v>186583</c:v>
                </c:pt>
              </c:numCache>
            </c:numRef>
          </c:val>
          <c:extLst>
            <c:ext xmlns:c16="http://schemas.microsoft.com/office/drawing/2014/chart" uri="{C3380CC4-5D6E-409C-BE32-E72D297353CC}">
              <c16:uniqueId val="{00000001-C5E2-451C-A1C9-694C495DCC85}"/>
            </c:ext>
          </c:extLst>
        </c:ser>
        <c:ser>
          <c:idx val="2"/>
          <c:order val="2"/>
          <c:tx>
            <c:strRef>
              <c:f>'Ⅱ-1-(2)_中古車輸出台数'!$S$25</c:f>
              <c:strCache>
                <c:ptCount val="1"/>
                <c:pt idx="0">
                  <c:v>タンザニア　Tanzania</c:v>
                </c:pt>
              </c:strCache>
            </c:strRef>
          </c:tx>
          <c:spPr>
            <a:solidFill>
              <a:srgbClr val="1A2232"/>
            </a:solidFill>
            <a:ln w="12700">
              <a:noFill/>
              <a:prstDash val="solid"/>
            </a:ln>
          </c:spPr>
          <c:invertIfNegative val="0"/>
          <c:cat>
            <c:strRef>
              <c:f>'Ⅱ-1-(2)_中古車輸出台数'!$U$21:$AE$22</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'Ⅱ-1-(2)_中古車輸出台数'!$U$25:$AE$25</c:f>
              <c:numCache>
                <c:formatCode>#,##0_);[Red]\(#,##0\)</c:formatCode>
                <c:ptCount val="11"/>
                <c:pt idx="0">
                  <c:v>42738</c:v>
                </c:pt>
                <c:pt idx="1">
                  <c:v>39408</c:v>
                </c:pt>
                <c:pt idx="2">
                  <c:v>47563</c:v>
                </c:pt>
                <c:pt idx="3">
                  <c:v>58598</c:v>
                </c:pt>
                <c:pt idx="4">
                  <c:v>55882</c:v>
                </c:pt>
                <c:pt idx="5">
                  <c:v>49501</c:v>
                </c:pt>
                <c:pt idx="6">
                  <c:v>62428</c:v>
                </c:pt>
                <c:pt idx="7">
                  <c:v>71651</c:v>
                </c:pt>
                <c:pt idx="8">
                  <c:v>81683</c:v>
                </c:pt>
                <c:pt idx="9">
                  <c:v>77978</c:v>
                </c:pt>
                <c:pt idx="10">
                  <c:v>118999</c:v>
                </c:pt>
              </c:numCache>
            </c:numRef>
          </c:val>
          <c:extLst>
            <c:ext xmlns:c16="http://schemas.microsoft.com/office/drawing/2014/chart" uri="{C3380CC4-5D6E-409C-BE32-E72D297353CC}">
              <c16:uniqueId val="{00000002-C5E2-451C-A1C9-694C495DCC85}"/>
            </c:ext>
          </c:extLst>
        </c:ser>
        <c:ser>
          <c:idx val="3"/>
          <c:order val="3"/>
          <c:tx>
            <c:strRef>
              <c:f>'Ⅱ-1-(2)_中古車輸出台数'!$S$26</c:f>
              <c:strCache>
                <c:ptCount val="1"/>
                <c:pt idx="0">
                  <c:v>チリ　Chile</c:v>
                </c:pt>
              </c:strCache>
            </c:strRef>
          </c:tx>
          <c:spPr>
            <a:solidFill>
              <a:schemeClr val="bg1">
                <a:lumMod val="75000"/>
              </a:schemeClr>
            </a:solidFill>
            <a:ln w="12700">
              <a:noFill/>
              <a:prstDash val="solid"/>
            </a:ln>
          </c:spPr>
          <c:invertIfNegative val="0"/>
          <c:cat>
            <c:strRef>
              <c:f>'Ⅱ-1-(2)_中古車輸出台数'!$U$21:$AE$22</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'Ⅱ-1-(2)_中古車輸出台数'!$U$26:$AE$26</c:f>
              <c:numCache>
                <c:formatCode>#,##0_);[Red]\(#,##0\)</c:formatCode>
                <c:ptCount val="11"/>
                <c:pt idx="0">
                  <c:v>64658</c:v>
                </c:pt>
                <c:pt idx="1">
                  <c:v>74069</c:v>
                </c:pt>
                <c:pt idx="2">
                  <c:v>91462</c:v>
                </c:pt>
                <c:pt idx="3">
                  <c:v>92559</c:v>
                </c:pt>
                <c:pt idx="4">
                  <c:v>80650</c:v>
                </c:pt>
                <c:pt idx="5">
                  <c:v>67658</c:v>
                </c:pt>
                <c:pt idx="6">
                  <c:v>88782</c:v>
                </c:pt>
                <c:pt idx="7">
                  <c:v>56487</c:v>
                </c:pt>
                <c:pt idx="8">
                  <c:v>65644</c:v>
                </c:pt>
                <c:pt idx="9">
                  <c:v>64666</c:v>
                </c:pt>
                <c:pt idx="10">
                  <c:v>83448</c:v>
                </c:pt>
              </c:numCache>
            </c:numRef>
          </c:val>
          <c:extLst>
            <c:ext xmlns:c16="http://schemas.microsoft.com/office/drawing/2014/chart" uri="{C3380CC4-5D6E-409C-BE32-E72D297353CC}">
              <c16:uniqueId val="{00000003-C5E2-451C-A1C9-694C495DCC85}"/>
            </c:ext>
          </c:extLst>
        </c:ser>
        <c:ser>
          <c:idx val="4"/>
          <c:order val="4"/>
          <c:tx>
            <c:strRef>
              <c:f>'Ⅱ-1-(2)_中古車輸出台数'!$S$27</c:f>
              <c:strCache>
                <c:ptCount val="1"/>
                <c:pt idx="0">
                  <c:v>ケニア　Kenya</c:v>
                </c:pt>
              </c:strCache>
            </c:strRef>
          </c:tx>
          <c:spPr>
            <a:solidFill>
              <a:schemeClr val="accent4">
                <a:lumMod val="60000"/>
                <a:lumOff val="40000"/>
              </a:schemeClr>
            </a:solidFill>
            <a:ln w="12700">
              <a:noFill/>
              <a:prstDash val="solid"/>
            </a:ln>
          </c:spPr>
          <c:invertIfNegative val="0"/>
          <c:cat>
            <c:strRef>
              <c:f>'Ⅱ-1-(2)_中古車輸出台数'!$U$21:$AE$22</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'Ⅱ-1-(2)_中古車輸出台数'!$U$27:$AE$27</c:f>
              <c:numCache>
                <c:formatCode>#,##0_);[Red]\(#,##0\)</c:formatCode>
                <c:ptCount val="11"/>
                <c:pt idx="0">
                  <c:v>77473</c:v>
                </c:pt>
                <c:pt idx="1">
                  <c:v>57130</c:v>
                </c:pt>
                <c:pt idx="2">
                  <c:v>73921</c:v>
                </c:pt>
                <c:pt idx="3">
                  <c:v>77268</c:v>
                </c:pt>
                <c:pt idx="4">
                  <c:v>78454</c:v>
                </c:pt>
                <c:pt idx="5">
                  <c:v>62940</c:v>
                </c:pt>
                <c:pt idx="6">
                  <c:v>73460</c:v>
                </c:pt>
                <c:pt idx="7">
                  <c:v>61352</c:v>
                </c:pt>
                <c:pt idx="8">
                  <c:v>61170</c:v>
                </c:pt>
                <c:pt idx="9">
                  <c:v>63093</c:v>
                </c:pt>
                <c:pt idx="10">
                  <c:v>77007</c:v>
                </c:pt>
              </c:numCache>
            </c:numRef>
          </c:val>
          <c:extLst>
            <c:ext xmlns:c16="http://schemas.microsoft.com/office/drawing/2014/chart" uri="{C3380CC4-5D6E-409C-BE32-E72D297353CC}">
              <c16:uniqueId val="{00000004-C5E2-451C-A1C9-694C495DCC85}"/>
            </c:ext>
          </c:extLst>
        </c:ser>
        <c:ser>
          <c:idx val="8"/>
          <c:order val="5"/>
          <c:tx>
            <c:strRef>
              <c:f>'Ⅱ-1-(2)_中古車輸出台数'!$S$28</c:f>
              <c:strCache>
                <c:ptCount val="1"/>
                <c:pt idx="0">
                  <c:v>ニュージーランド　New Zealand</c:v>
                </c:pt>
              </c:strCache>
            </c:strRef>
          </c:tx>
          <c:spPr>
            <a:solidFill>
              <a:schemeClr val="accent5">
                <a:lumMod val="40000"/>
                <a:lumOff val="60000"/>
              </a:schemeClr>
            </a:solidFill>
            <a:ln w="12700">
              <a:noFill/>
              <a:prstDash val="solid"/>
            </a:ln>
          </c:spPr>
          <c:invertIfNegative val="0"/>
          <c:cat>
            <c:strRef>
              <c:f>'Ⅱ-1-(2)_中古車輸出台数'!$U$21:$AE$22</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'Ⅱ-1-(2)_中古車輸出台数'!$U$28:$AE$28</c:f>
              <c:numCache>
                <c:formatCode>#,##0_);[Red]\(#,##0\)</c:formatCode>
                <c:ptCount val="11"/>
                <c:pt idx="0">
                  <c:v>118427</c:v>
                </c:pt>
                <c:pt idx="1">
                  <c:v>122329</c:v>
                </c:pt>
                <c:pt idx="2">
                  <c:v>135509</c:v>
                </c:pt>
                <c:pt idx="3">
                  <c:v>116253</c:v>
                </c:pt>
                <c:pt idx="4">
                  <c:v>111806</c:v>
                </c:pt>
                <c:pt idx="5">
                  <c:v>87999</c:v>
                </c:pt>
                <c:pt idx="6">
                  <c:v>104954</c:v>
                </c:pt>
                <c:pt idx="7">
                  <c:v>84083</c:v>
                </c:pt>
                <c:pt idx="8">
                  <c:v>114252</c:v>
                </c:pt>
                <c:pt idx="9">
                  <c:v>81290</c:v>
                </c:pt>
                <c:pt idx="10">
                  <c:v>71593</c:v>
                </c:pt>
              </c:numCache>
            </c:numRef>
          </c:val>
          <c:extLst>
            <c:ext xmlns:c16="http://schemas.microsoft.com/office/drawing/2014/chart" uri="{C3380CC4-5D6E-409C-BE32-E72D297353CC}">
              <c16:uniqueId val="{00000005-C5E2-451C-A1C9-694C495DCC85}"/>
            </c:ext>
          </c:extLst>
        </c:ser>
        <c:ser>
          <c:idx val="5"/>
          <c:order val="6"/>
          <c:tx>
            <c:strRef>
              <c:f>'Ⅱ-1-(2)_中古車輸出台数'!$S$29</c:f>
              <c:strCache>
                <c:ptCount val="1"/>
                <c:pt idx="0">
                  <c:v>モンゴル　Mongolia</c:v>
                </c:pt>
              </c:strCache>
            </c:strRef>
          </c:tx>
          <c:spPr>
            <a:solidFill>
              <a:srgbClr val="BDC3C4"/>
            </a:solidFill>
            <a:ln w="12700">
              <a:noFill/>
              <a:prstDash val="solid"/>
            </a:ln>
          </c:spPr>
          <c:invertIfNegative val="0"/>
          <c:cat>
            <c:strRef>
              <c:f>'Ⅱ-1-(2)_中古車輸出台数'!$U$21:$AE$22</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'Ⅱ-1-(2)_中古車輸出台数'!$U$29:$AE$29</c:f>
              <c:numCache>
                <c:formatCode>#,##0_);[Red]\(#,##0\)</c:formatCode>
                <c:ptCount val="11"/>
                <c:pt idx="0">
                  <c:v>31684</c:v>
                </c:pt>
                <c:pt idx="1">
                  <c:v>32179</c:v>
                </c:pt>
                <c:pt idx="2">
                  <c:v>44057</c:v>
                </c:pt>
                <c:pt idx="3">
                  <c:v>60957</c:v>
                </c:pt>
                <c:pt idx="4">
                  <c:v>60132</c:v>
                </c:pt>
                <c:pt idx="5">
                  <c:v>50927</c:v>
                </c:pt>
                <c:pt idx="6">
                  <c:v>63509</c:v>
                </c:pt>
                <c:pt idx="7">
                  <c:v>46229</c:v>
                </c:pt>
                <c:pt idx="8">
                  <c:v>79765</c:v>
                </c:pt>
                <c:pt idx="9">
                  <c:v>111625</c:v>
                </c:pt>
                <c:pt idx="10">
                  <c:v>66408</c:v>
                </c:pt>
              </c:numCache>
            </c:numRef>
          </c:val>
          <c:extLst>
            <c:ext xmlns:c16="http://schemas.microsoft.com/office/drawing/2014/chart" uri="{C3380CC4-5D6E-409C-BE32-E72D297353CC}">
              <c16:uniqueId val="{00000006-C5E2-451C-A1C9-694C495DCC85}"/>
            </c:ext>
          </c:extLst>
        </c:ser>
        <c:ser>
          <c:idx val="6"/>
          <c:order val="7"/>
          <c:tx>
            <c:v>その他　Other</c:v>
          </c:tx>
          <c:spPr>
            <a:solidFill>
              <a:srgbClr val="E9EBEB"/>
            </a:solidFill>
            <a:ln w="12700">
              <a:noFill/>
              <a:prstDash val="solid"/>
            </a:ln>
          </c:spPr>
          <c:invertIfNegative val="0"/>
          <c:cat>
            <c:strRef>
              <c:f>'Ⅱ-1-(2)_中古車輸出台数'!$U$21:$AE$22</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'Ⅱ-1-(2)_中古車輸出台数'!$U$30:$AE$30</c:f>
              <c:numCache>
                <c:formatCode>#,##0_);[Red]\(#,##0\)</c:formatCode>
                <c:ptCount val="11"/>
                <c:pt idx="0">
                  <c:v>733738</c:v>
                </c:pt>
                <c:pt idx="1">
                  <c:v>663350</c:v>
                </c:pt>
                <c:pt idx="2">
                  <c:v>691834</c:v>
                </c:pt>
                <c:pt idx="3">
                  <c:v>699204</c:v>
                </c:pt>
                <c:pt idx="4">
                  <c:v>614859</c:v>
                </c:pt>
                <c:pt idx="5">
                  <c:v>480718</c:v>
                </c:pt>
                <c:pt idx="6">
                  <c:v>536339</c:v>
                </c:pt>
                <c:pt idx="7">
                  <c:v>553768</c:v>
                </c:pt>
                <c:pt idx="8">
                  <c:v>717689</c:v>
                </c:pt>
                <c:pt idx="9">
                  <c:v>748266</c:v>
                </c:pt>
                <c:pt idx="10">
                  <c:v>855247</c:v>
                </c:pt>
              </c:numCache>
            </c:numRef>
          </c:val>
          <c:extLst>
            <c:ext xmlns:c16="http://schemas.microsoft.com/office/drawing/2014/chart" uri="{C3380CC4-5D6E-409C-BE32-E72D297353CC}">
              <c16:uniqueId val="{00000007-C5E2-451C-A1C9-694C495DCC85}"/>
            </c:ext>
          </c:extLst>
        </c:ser>
        <c:dLbls>
          <c:showLegendKey val="0"/>
          <c:showVal val="0"/>
          <c:showCatName val="0"/>
          <c:showSerName val="0"/>
          <c:showPercent val="0"/>
          <c:showBubbleSize val="0"/>
        </c:dLbls>
        <c:gapWidth val="150"/>
        <c:overlap val="100"/>
        <c:axId val="751160560"/>
        <c:axId val="751160952"/>
      </c:barChart>
      <c:catAx>
        <c:axId val="7511605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メイリオ" panose="020B0604030504040204" pitchFamily="50" charset="-128"/>
                <a:ea typeface="メイリオ" panose="020B0604030504040204" pitchFamily="50" charset="-128"/>
                <a:cs typeface="Calibri" panose="020F0502020204030204" pitchFamily="34" charset="0"/>
              </a:defRPr>
            </a:pPr>
            <a:endParaRPr lang="ja-JP"/>
          </a:p>
        </c:txPr>
        <c:crossAx val="751160952"/>
        <c:crosses val="autoZero"/>
        <c:auto val="1"/>
        <c:lblAlgn val="ctr"/>
        <c:lblOffset val="100"/>
        <c:tickLblSkip val="1"/>
        <c:tickMarkSkip val="1"/>
        <c:noMultiLvlLbl val="0"/>
      </c:catAx>
      <c:valAx>
        <c:axId val="751160952"/>
        <c:scaling>
          <c:orientation val="minMax"/>
          <c:max val="1800000"/>
          <c:min val="0"/>
        </c:scaling>
        <c:delete val="0"/>
        <c:axPos val="l"/>
        <c:numFmt formatCode="#,##0,;[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n-lt"/>
                <a:ea typeface="+mn-ea"/>
                <a:cs typeface="Calibri" panose="020F0502020204030204" pitchFamily="34" charset="0"/>
              </a:defRPr>
            </a:pPr>
            <a:endParaRPr lang="ja-JP"/>
          </a:p>
        </c:txPr>
        <c:crossAx val="751160560"/>
        <c:crosses val="autoZero"/>
        <c:crossBetween val="between"/>
      </c:valAx>
      <c:spPr>
        <a:solidFill>
          <a:srgbClr val="FFFFFF"/>
        </a:solidFill>
        <a:ln w="12700">
          <a:noFill/>
          <a:prstDash val="solid"/>
        </a:ln>
      </c:spPr>
    </c:plotArea>
    <c:legend>
      <c:legendPos val="r"/>
      <c:layout>
        <c:manualLayout>
          <c:xMode val="edge"/>
          <c:yMode val="edge"/>
          <c:x val="0.78370529370418995"/>
          <c:y val="6.8773659393286446E-2"/>
          <c:w val="0.19737351656727761"/>
          <c:h val="0.8064051004670999"/>
        </c:manualLayout>
      </c:layout>
      <c:overlay val="0"/>
      <c:spPr>
        <a:solidFill>
          <a:srgbClr val="FFFFFF"/>
        </a:solidFill>
        <a:ln w="3175">
          <a:noFill/>
          <a:prstDash val="solid"/>
        </a:ln>
      </c:spPr>
      <c:txPr>
        <a:bodyPr/>
        <a:lstStyle/>
        <a:p>
          <a:pPr>
            <a:defRPr sz="700" b="0" i="0" u="none" strike="noStrike" baseline="0">
              <a:solidFill>
                <a:srgbClr val="000000"/>
              </a:solidFill>
              <a:latin typeface="+mn-lt"/>
              <a:ea typeface="メイリオ" panose="020B0604030504040204" pitchFamily="50" charset="-128"/>
              <a:cs typeface="ＭＳ Ｐゴシック"/>
            </a:defRPr>
          </a:pPr>
          <a:endParaRPr lang="ja-JP"/>
        </a:p>
      </c:txPr>
    </c:legend>
    <c:plotVisOnly val="0"/>
    <c:dispBlanksAs val="gap"/>
    <c:showDLblsOverMax val="0"/>
  </c:chart>
  <c:spPr>
    <a:noFill/>
    <a:ln w="12700">
      <a:no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294672431700178E-2"/>
          <c:y val="8.331627793539742E-2"/>
          <c:w val="0.90375698822628792"/>
          <c:h val="0.53383342817927115"/>
        </c:manualLayout>
      </c:layout>
      <c:lineChart>
        <c:grouping val="standard"/>
        <c:varyColors val="0"/>
        <c:ser>
          <c:idx val="1"/>
          <c:order val="0"/>
          <c:spPr>
            <a:ln w="25400">
              <a:solidFill>
                <a:schemeClr val="tx1"/>
              </a:solidFill>
              <a:prstDash val="solid"/>
            </a:ln>
          </c:spPr>
          <c:marker>
            <c:symbol val="none"/>
          </c:marker>
          <c:cat>
            <c:numRef>
              <c:f>'Ⅲ-1-(8)_ﾘｻｲｸﾙ7ｾｸﾞﾒﾝﾄ売上推移'!$V$57:$EX$57</c:f>
              <c:numCache>
                <c:formatCode>General</c:formatCode>
                <c:ptCount val="133"/>
                <c:pt idx="0">
                  <c:v>2015</c:v>
                </c:pt>
                <c:pt idx="1">
                  <c:v>2015</c:v>
                </c:pt>
                <c:pt idx="2">
                  <c:v>2015</c:v>
                </c:pt>
                <c:pt idx="3">
                  <c:v>2015</c:v>
                </c:pt>
                <c:pt idx="4">
                  <c:v>2015</c:v>
                </c:pt>
                <c:pt idx="5">
                  <c:v>2015</c:v>
                </c:pt>
                <c:pt idx="6">
                  <c:v>2015</c:v>
                </c:pt>
                <c:pt idx="7">
                  <c:v>2015</c:v>
                </c:pt>
                <c:pt idx="8">
                  <c:v>2015</c:v>
                </c:pt>
                <c:pt idx="9">
                  <c:v>2016</c:v>
                </c:pt>
                <c:pt idx="10">
                  <c:v>2016</c:v>
                </c:pt>
                <c:pt idx="11">
                  <c:v>2016</c:v>
                </c:pt>
                <c:pt idx="12">
                  <c:v>2016</c:v>
                </c:pt>
                <c:pt idx="13">
                  <c:v>2016</c:v>
                </c:pt>
                <c:pt idx="14">
                  <c:v>2016</c:v>
                </c:pt>
                <c:pt idx="15">
                  <c:v>2016</c:v>
                </c:pt>
                <c:pt idx="16">
                  <c:v>2016</c:v>
                </c:pt>
                <c:pt idx="17">
                  <c:v>2016</c:v>
                </c:pt>
                <c:pt idx="18">
                  <c:v>2016</c:v>
                </c:pt>
                <c:pt idx="19">
                  <c:v>2016</c:v>
                </c:pt>
                <c:pt idx="20">
                  <c:v>2016</c:v>
                </c:pt>
                <c:pt idx="21">
                  <c:v>2017</c:v>
                </c:pt>
                <c:pt idx="22">
                  <c:v>2017</c:v>
                </c:pt>
                <c:pt idx="23">
                  <c:v>2017</c:v>
                </c:pt>
                <c:pt idx="24">
                  <c:v>2017</c:v>
                </c:pt>
                <c:pt idx="25">
                  <c:v>2017</c:v>
                </c:pt>
                <c:pt idx="26">
                  <c:v>2017</c:v>
                </c:pt>
                <c:pt idx="27">
                  <c:v>2017</c:v>
                </c:pt>
                <c:pt idx="28">
                  <c:v>2017</c:v>
                </c:pt>
                <c:pt idx="29">
                  <c:v>2017</c:v>
                </c:pt>
                <c:pt idx="30">
                  <c:v>2017</c:v>
                </c:pt>
                <c:pt idx="31">
                  <c:v>2017</c:v>
                </c:pt>
                <c:pt idx="32">
                  <c:v>2017</c:v>
                </c:pt>
                <c:pt idx="33">
                  <c:v>2018</c:v>
                </c:pt>
                <c:pt idx="34">
                  <c:v>2018</c:v>
                </c:pt>
                <c:pt idx="35">
                  <c:v>2018</c:v>
                </c:pt>
                <c:pt idx="36">
                  <c:v>2018</c:v>
                </c:pt>
                <c:pt idx="37">
                  <c:v>2018</c:v>
                </c:pt>
                <c:pt idx="38">
                  <c:v>2018</c:v>
                </c:pt>
                <c:pt idx="39">
                  <c:v>2018</c:v>
                </c:pt>
                <c:pt idx="40">
                  <c:v>2018</c:v>
                </c:pt>
                <c:pt idx="41">
                  <c:v>2018</c:v>
                </c:pt>
                <c:pt idx="42">
                  <c:v>2018</c:v>
                </c:pt>
                <c:pt idx="43">
                  <c:v>2018</c:v>
                </c:pt>
                <c:pt idx="44">
                  <c:v>2018</c:v>
                </c:pt>
                <c:pt idx="45">
                  <c:v>2019</c:v>
                </c:pt>
                <c:pt idx="46">
                  <c:v>2019</c:v>
                </c:pt>
                <c:pt idx="47">
                  <c:v>2019</c:v>
                </c:pt>
                <c:pt idx="48">
                  <c:v>2019</c:v>
                </c:pt>
                <c:pt idx="49">
                  <c:v>2019</c:v>
                </c:pt>
                <c:pt idx="50">
                  <c:v>2019</c:v>
                </c:pt>
                <c:pt idx="51">
                  <c:v>2019</c:v>
                </c:pt>
                <c:pt idx="52">
                  <c:v>2019</c:v>
                </c:pt>
                <c:pt idx="53">
                  <c:v>2019</c:v>
                </c:pt>
                <c:pt idx="54">
                  <c:v>2019</c:v>
                </c:pt>
                <c:pt idx="55">
                  <c:v>2019</c:v>
                </c:pt>
                <c:pt idx="56">
                  <c:v>2019</c:v>
                </c:pt>
                <c:pt idx="57">
                  <c:v>2020</c:v>
                </c:pt>
                <c:pt idx="58">
                  <c:v>2020</c:v>
                </c:pt>
                <c:pt idx="59">
                  <c:v>2020</c:v>
                </c:pt>
                <c:pt idx="60">
                  <c:v>2020</c:v>
                </c:pt>
                <c:pt idx="61">
                  <c:v>2020</c:v>
                </c:pt>
                <c:pt idx="62">
                  <c:v>2020</c:v>
                </c:pt>
                <c:pt idx="63">
                  <c:v>2020</c:v>
                </c:pt>
                <c:pt idx="64">
                  <c:v>2020</c:v>
                </c:pt>
                <c:pt idx="65">
                  <c:v>2020</c:v>
                </c:pt>
                <c:pt idx="66">
                  <c:v>2020</c:v>
                </c:pt>
                <c:pt idx="67">
                  <c:v>2020</c:v>
                </c:pt>
                <c:pt idx="68">
                  <c:v>2020</c:v>
                </c:pt>
                <c:pt idx="69">
                  <c:v>2021</c:v>
                </c:pt>
                <c:pt idx="70">
                  <c:v>2021</c:v>
                </c:pt>
                <c:pt idx="71">
                  <c:v>2021</c:v>
                </c:pt>
                <c:pt idx="72">
                  <c:v>2021</c:v>
                </c:pt>
                <c:pt idx="73">
                  <c:v>2021</c:v>
                </c:pt>
                <c:pt idx="74">
                  <c:v>2021</c:v>
                </c:pt>
                <c:pt idx="75">
                  <c:v>2021</c:v>
                </c:pt>
                <c:pt idx="76">
                  <c:v>2021</c:v>
                </c:pt>
                <c:pt idx="77">
                  <c:v>2021</c:v>
                </c:pt>
                <c:pt idx="78">
                  <c:v>2021</c:v>
                </c:pt>
                <c:pt idx="79">
                  <c:v>2021</c:v>
                </c:pt>
                <c:pt idx="80">
                  <c:v>2021</c:v>
                </c:pt>
                <c:pt idx="81">
                  <c:v>2022</c:v>
                </c:pt>
                <c:pt idx="82">
                  <c:v>2022</c:v>
                </c:pt>
                <c:pt idx="83">
                  <c:v>2022</c:v>
                </c:pt>
                <c:pt idx="84">
                  <c:v>2022</c:v>
                </c:pt>
                <c:pt idx="85">
                  <c:v>2022</c:v>
                </c:pt>
                <c:pt idx="86">
                  <c:v>2022</c:v>
                </c:pt>
                <c:pt idx="87">
                  <c:v>2022</c:v>
                </c:pt>
                <c:pt idx="88">
                  <c:v>2022</c:v>
                </c:pt>
                <c:pt idx="89">
                  <c:v>2022</c:v>
                </c:pt>
                <c:pt idx="90">
                  <c:v>2022</c:v>
                </c:pt>
                <c:pt idx="91">
                  <c:v>2022</c:v>
                </c:pt>
                <c:pt idx="92">
                  <c:v>2022</c:v>
                </c:pt>
                <c:pt idx="93">
                  <c:v>2023</c:v>
                </c:pt>
                <c:pt idx="94">
                  <c:v>2023</c:v>
                </c:pt>
                <c:pt idx="95">
                  <c:v>2023</c:v>
                </c:pt>
                <c:pt idx="96">
                  <c:v>2023</c:v>
                </c:pt>
                <c:pt idx="97">
                  <c:v>2023</c:v>
                </c:pt>
                <c:pt idx="98">
                  <c:v>2023</c:v>
                </c:pt>
                <c:pt idx="99">
                  <c:v>2023</c:v>
                </c:pt>
                <c:pt idx="100">
                  <c:v>2023</c:v>
                </c:pt>
                <c:pt idx="101">
                  <c:v>2023</c:v>
                </c:pt>
                <c:pt idx="102">
                  <c:v>2023</c:v>
                </c:pt>
                <c:pt idx="103">
                  <c:v>2023</c:v>
                </c:pt>
                <c:pt idx="104">
                  <c:v>2023</c:v>
                </c:pt>
                <c:pt idx="105">
                  <c:v>2024</c:v>
                </c:pt>
                <c:pt idx="106">
                  <c:v>2024</c:v>
                </c:pt>
                <c:pt idx="107">
                  <c:v>2024</c:v>
                </c:pt>
                <c:pt idx="108">
                  <c:v>2024</c:v>
                </c:pt>
                <c:pt idx="109">
                  <c:v>2024</c:v>
                </c:pt>
                <c:pt idx="110">
                  <c:v>2024</c:v>
                </c:pt>
                <c:pt idx="111">
                  <c:v>2024</c:v>
                </c:pt>
                <c:pt idx="112">
                  <c:v>2024</c:v>
                </c:pt>
                <c:pt idx="113">
                  <c:v>2024</c:v>
                </c:pt>
                <c:pt idx="114">
                  <c:v>2024</c:v>
                </c:pt>
                <c:pt idx="115">
                  <c:v>2024</c:v>
                </c:pt>
                <c:pt idx="116">
                  <c:v>2024</c:v>
                </c:pt>
                <c:pt idx="117">
                  <c:v>2025</c:v>
                </c:pt>
                <c:pt idx="118">
                  <c:v>2025</c:v>
                </c:pt>
                <c:pt idx="119">
                  <c:v>2025</c:v>
                </c:pt>
                <c:pt idx="120">
                  <c:v>2025</c:v>
                </c:pt>
                <c:pt idx="121">
                  <c:v>2025</c:v>
                </c:pt>
                <c:pt idx="122">
                  <c:v>2025</c:v>
                </c:pt>
                <c:pt idx="123">
                  <c:v>2025</c:v>
                </c:pt>
                <c:pt idx="124">
                  <c:v>2025</c:v>
                </c:pt>
                <c:pt idx="125">
                  <c:v>2025</c:v>
                </c:pt>
                <c:pt idx="126">
                  <c:v>2025</c:v>
                </c:pt>
                <c:pt idx="127">
                  <c:v>2025</c:v>
                </c:pt>
                <c:pt idx="128">
                  <c:v>2025</c:v>
                </c:pt>
                <c:pt idx="129">
                  <c:v>2026</c:v>
                </c:pt>
                <c:pt idx="130">
                  <c:v>2026</c:v>
                </c:pt>
                <c:pt idx="131">
                  <c:v>2026</c:v>
                </c:pt>
                <c:pt idx="132">
                  <c:v>2026</c:v>
                </c:pt>
              </c:numCache>
            </c:numRef>
          </c:cat>
          <c:val>
            <c:numRef>
              <c:f>'Ⅲ-1-(8)_ﾘｻｲｸﾙ7ｾｸﾞﾒﾝﾄ売上推移'!$V$58:$EX$58</c:f>
              <c:numCache>
                <c:formatCode>#,##0_);[Red]\(#,##0\)</c:formatCode>
                <c:ptCount val="133"/>
                <c:pt idx="0">
                  <c:v>23647</c:v>
                </c:pt>
                <c:pt idx="1">
                  <c:v>24075</c:v>
                </c:pt>
                <c:pt idx="2">
                  <c:v>25108</c:v>
                </c:pt>
                <c:pt idx="3">
                  <c:v>23480</c:v>
                </c:pt>
                <c:pt idx="4">
                  <c:v>21958</c:v>
                </c:pt>
                <c:pt idx="5">
                  <c:v>17027</c:v>
                </c:pt>
                <c:pt idx="6">
                  <c:v>14558</c:v>
                </c:pt>
                <c:pt idx="7">
                  <c:v>14092</c:v>
                </c:pt>
                <c:pt idx="8">
                  <c:v>15075</c:v>
                </c:pt>
                <c:pt idx="9">
                  <c:v>14983</c:v>
                </c:pt>
                <c:pt idx="10">
                  <c:v>15325</c:v>
                </c:pt>
                <c:pt idx="11">
                  <c:v>16840</c:v>
                </c:pt>
                <c:pt idx="12">
                  <c:v>22433</c:v>
                </c:pt>
                <c:pt idx="13">
                  <c:v>22600</c:v>
                </c:pt>
                <c:pt idx="14">
                  <c:v>18393</c:v>
                </c:pt>
                <c:pt idx="15">
                  <c:v>17542</c:v>
                </c:pt>
                <c:pt idx="16">
                  <c:v>18127</c:v>
                </c:pt>
                <c:pt idx="17">
                  <c:v>18992</c:v>
                </c:pt>
                <c:pt idx="18">
                  <c:v>18850</c:v>
                </c:pt>
                <c:pt idx="19">
                  <c:v>22440</c:v>
                </c:pt>
                <c:pt idx="20">
                  <c:v>25383</c:v>
                </c:pt>
                <c:pt idx="21">
                  <c:v>26092</c:v>
                </c:pt>
                <c:pt idx="22">
                  <c:v>25708</c:v>
                </c:pt>
                <c:pt idx="23">
                  <c:v>28473</c:v>
                </c:pt>
                <c:pt idx="24">
                  <c:v>26883</c:v>
                </c:pt>
                <c:pt idx="25">
                  <c:v>23707</c:v>
                </c:pt>
                <c:pt idx="26">
                  <c:v>24700</c:v>
                </c:pt>
                <c:pt idx="27">
                  <c:v>26233</c:v>
                </c:pt>
                <c:pt idx="28">
                  <c:v>29560</c:v>
                </c:pt>
                <c:pt idx="29">
                  <c:v>31650</c:v>
                </c:pt>
                <c:pt idx="30">
                  <c:v>30600</c:v>
                </c:pt>
                <c:pt idx="31">
                  <c:v>33133</c:v>
                </c:pt>
                <c:pt idx="32">
                  <c:v>35300</c:v>
                </c:pt>
                <c:pt idx="33">
                  <c:v>36367</c:v>
                </c:pt>
                <c:pt idx="34">
                  <c:v>35525</c:v>
                </c:pt>
                <c:pt idx="35">
                  <c:v>36208</c:v>
                </c:pt>
                <c:pt idx="36">
                  <c:v>33100</c:v>
                </c:pt>
                <c:pt idx="37">
                  <c:v>33580</c:v>
                </c:pt>
                <c:pt idx="38">
                  <c:v>34108</c:v>
                </c:pt>
                <c:pt idx="39">
                  <c:v>33867</c:v>
                </c:pt>
                <c:pt idx="40">
                  <c:v>34893</c:v>
                </c:pt>
                <c:pt idx="41">
                  <c:v>35825</c:v>
                </c:pt>
                <c:pt idx="42">
                  <c:v>36247</c:v>
                </c:pt>
                <c:pt idx="43">
                  <c:v>32008</c:v>
                </c:pt>
                <c:pt idx="44">
                  <c:v>29392</c:v>
                </c:pt>
                <c:pt idx="45">
                  <c:v>28940</c:v>
                </c:pt>
                <c:pt idx="46">
                  <c:v>30617</c:v>
                </c:pt>
                <c:pt idx="47">
                  <c:v>33308</c:v>
                </c:pt>
                <c:pt idx="48">
                  <c:v>31108</c:v>
                </c:pt>
                <c:pt idx="49">
                  <c:v>29480</c:v>
                </c:pt>
                <c:pt idx="50">
                  <c:v>27508</c:v>
                </c:pt>
                <c:pt idx="51">
                  <c:v>25620</c:v>
                </c:pt>
                <c:pt idx="52">
                  <c:v>25667</c:v>
                </c:pt>
                <c:pt idx="53">
                  <c:v>23658</c:v>
                </c:pt>
                <c:pt idx="54">
                  <c:v>22200</c:v>
                </c:pt>
                <c:pt idx="55">
                  <c:v>22717</c:v>
                </c:pt>
                <c:pt idx="56">
                  <c:v>24300</c:v>
                </c:pt>
                <c:pt idx="57">
                  <c:v>24220</c:v>
                </c:pt>
                <c:pt idx="58">
                  <c:v>20408</c:v>
                </c:pt>
                <c:pt idx="59">
                  <c:v>19842</c:v>
                </c:pt>
                <c:pt idx="60">
                  <c:v>19213</c:v>
                </c:pt>
                <c:pt idx="61">
                  <c:v>19592</c:v>
                </c:pt>
                <c:pt idx="62">
                  <c:v>23892</c:v>
                </c:pt>
                <c:pt idx="63">
                  <c:v>22393</c:v>
                </c:pt>
                <c:pt idx="64">
                  <c:v>24058</c:v>
                </c:pt>
                <c:pt idx="65">
                  <c:v>26180</c:v>
                </c:pt>
                <c:pt idx="66">
                  <c:v>26725</c:v>
                </c:pt>
                <c:pt idx="67">
                  <c:v>29367</c:v>
                </c:pt>
                <c:pt idx="68">
                  <c:v>38407</c:v>
                </c:pt>
                <c:pt idx="69">
                  <c:v>39567</c:v>
                </c:pt>
                <c:pt idx="70">
                  <c:v>37417</c:v>
                </c:pt>
                <c:pt idx="71">
                  <c:v>40260</c:v>
                </c:pt>
                <c:pt idx="72">
                  <c:v>41642</c:v>
                </c:pt>
                <c:pt idx="73">
                  <c:v>47450</c:v>
                </c:pt>
                <c:pt idx="74">
                  <c:v>49760</c:v>
                </c:pt>
                <c:pt idx="75">
                  <c:v>49783</c:v>
                </c:pt>
                <c:pt idx="76">
                  <c:v>48517</c:v>
                </c:pt>
                <c:pt idx="77">
                  <c:v>48327</c:v>
                </c:pt>
                <c:pt idx="78">
                  <c:v>54242</c:v>
                </c:pt>
                <c:pt idx="79">
                  <c:v>55000</c:v>
                </c:pt>
                <c:pt idx="80">
                  <c:v>53600</c:v>
                </c:pt>
                <c:pt idx="81">
                  <c:v>52125</c:v>
                </c:pt>
                <c:pt idx="82">
                  <c:v>54592</c:v>
                </c:pt>
                <c:pt idx="83">
                  <c:v>61003</c:v>
                </c:pt>
                <c:pt idx="84">
                  <c:v>65192</c:v>
                </c:pt>
                <c:pt idx="85">
                  <c:v>60942</c:v>
                </c:pt>
                <c:pt idx="86">
                  <c:v>54273</c:v>
                </c:pt>
                <c:pt idx="87">
                  <c:v>45200</c:v>
                </c:pt>
                <c:pt idx="88">
                  <c:v>43020</c:v>
                </c:pt>
                <c:pt idx="89">
                  <c:v>49775</c:v>
                </c:pt>
                <c:pt idx="90">
                  <c:v>49408</c:v>
                </c:pt>
                <c:pt idx="91">
                  <c:v>47780</c:v>
                </c:pt>
                <c:pt idx="92">
                  <c:v>48033</c:v>
                </c:pt>
                <c:pt idx="93">
                  <c:v>49725</c:v>
                </c:pt>
                <c:pt idx="94">
                  <c:v>52575</c:v>
                </c:pt>
                <c:pt idx="95">
                  <c:v>53893</c:v>
                </c:pt>
                <c:pt idx="96">
                  <c:v>50017</c:v>
                </c:pt>
                <c:pt idx="97">
                  <c:v>46880</c:v>
                </c:pt>
                <c:pt idx="98">
                  <c:v>48417</c:v>
                </c:pt>
                <c:pt idx="99">
                  <c:v>48967</c:v>
                </c:pt>
                <c:pt idx="100">
                  <c:v>49320</c:v>
                </c:pt>
                <c:pt idx="101">
                  <c:v>50100</c:v>
                </c:pt>
                <c:pt idx="102">
                  <c:v>50108</c:v>
                </c:pt>
                <c:pt idx="103">
                  <c:v>49947</c:v>
                </c:pt>
                <c:pt idx="104">
                  <c:v>50375</c:v>
                </c:pt>
                <c:pt idx="105">
                  <c:v>51227</c:v>
                </c:pt>
                <c:pt idx="106">
                  <c:v>52100</c:v>
                </c:pt>
                <c:pt idx="107">
                  <c:v>51158</c:v>
                </c:pt>
                <c:pt idx="108">
                  <c:v>50825</c:v>
                </c:pt>
                <c:pt idx="109">
                  <c:v>50860</c:v>
                </c:pt>
                <c:pt idx="110">
                  <c:v>51025</c:v>
                </c:pt>
                <c:pt idx="111">
                  <c:v>50467</c:v>
                </c:pt>
                <c:pt idx="112">
                  <c:v>46600</c:v>
                </c:pt>
                <c:pt idx="113">
                  <c:v>40625</c:v>
                </c:pt>
                <c:pt idx="114">
                  <c:v>40067</c:v>
                </c:pt>
                <c:pt idx="115">
                  <c:v>40700</c:v>
                </c:pt>
                <c:pt idx="116">
                  <c:v>40525</c:v>
                </c:pt>
                <c:pt idx="117">
                  <c:v>40167</c:v>
                </c:pt>
                <c:pt idx="118">
                  <c:v>40033</c:v>
                </c:pt>
                <c:pt idx="119">
                  <c:v>40400</c:v>
                </c:pt>
                <c:pt idx="120">
                  <c:v>41187</c:v>
                </c:pt>
                <c:pt idx="121">
                  <c:v>40608</c:v>
                </c:pt>
                <c:pt idx="122">
                  <c:v>40217</c:v>
                </c:pt>
                <c:pt idx="123">
                  <c:v>39673</c:v>
                </c:pt>
                <c:pt idx="124">
                  <c:v>39533</c:v>
                </c:pt>
                <c:pt idx="125">
                  <c:v>39467</c:v>
                </c:pt>
                <c:pt idx="126">
                  <c:v>41180</c:v>
                </c:pt>
                <c:pt idx="127">
                  <c:v>43125</c:v>
                </c:pt>
                <c:pt idx="128">
                  <c:v>43340</c:v>
                </c:pt>
                <c:pt idx="129">
                  <c:v>43375</c:v>
                </c:pt>
                <c:pt idx="130">
                  <c:v>43917</c:v>
                </c:pt>
                <c:pt idx="131">
                  <c:v>47600</c:v>
                </c:pt>
              </c:numCache>
            </c:numRef>
          </c:val>
          <c:smooth val="0"/>
          <c:extLst>
            <c:ext xmlns:c16="http://schemas.microsoft.com/office/drawing/2014/chart" uri="{C3380CC4-5D6E-409C-BE32-E72D297353CC}">
              <c16:uniqueId val="{00000000-292F-48A5-A1BD-00B140399A61}"/>
            </c:ext>
          </c:extLst>
        </c:ser>
        <c:dLbls>
          <c:showLegendKey val="0"/>
          <c:showVal val="0"/>
          <c:showCatName val="0"/>
          <c:showSerName val="0"/>
          <c:showPercent val="0"/>
          <c:showBubbleSize val="0"/>
        </c:dLbls>
        <c:smooth val="0"/>
        <c:axId val="758293560"/>
        <c:axId val="758293952"/>
      </c:lineChart>
      <c:catAx>
        <c:axId val="7582935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758293952"/>
        <c:crosses val="autoZero"/>
        <c:auto val="1"/>
        <c:lblAlgn val="ctr"/>
        <c:lblOffset val="100"/>
        <c:tickLblSkip val="12"/>
        <c:tickMarkSkip val="3"/>
        <c:noMultiLvlLbl val="0"/>
      </c:catAx>
      <c:valAx>
        <c:axId val="758293952"/>
        <c:scaling>
          <c:orientation val="minMax"/>
          <c:max val="7000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700"/>
            </a:pPr>
            <a:endParaRPr lang="ja-JP"/>
          </a:p>
        </c:txPr>
        <c:crossAx val="758293560"/>
        <c:crosses val="autoZero"/>
        <c:crossBetween val="midCat"/>
      </c:valAx>
      <c:spPr>
        <a:solidFill>
          <a:srgbClr val="FFFFFF"/>
        </a:solidFill>
        <a:ln w="12700">
          <a:noFill/>
          <a:prstDash val="solid"/>
        </a:ln>
      </c:spPr>
    </c:plotArea>
    <c:plotVisOnly val="0"/>
    <c:dispBlanksAs val="gap"/>
    <c:showDLblsOverMax val="0"/>
  </c:chart>
  <c:spPr>
    <a:noFill/>
    <a:ln w="12700">
      <a:noFill/>
      <a:prstDash val="solid"/>
    </a:ln>
  </c:spPr>
  <c:txPr>
    <a:bodyPr/>
    <a:lstStyle/>
    <a:p>
      <a:pPr>
        <a:defRPr sz="900" b="0" i="0" u="none" strike="noStrike" baseline="0">
          <a:solidFill>
            <a:srgbClr val="000000"/>
          </a:solidFill>
          <a:latin typeface="+mn-lt"/>
          <a:ea typeface="+mn-ea"/>
          <a:cs typeface="Calibri" panose="020F0502020204030204" pitchFamily="34" charset="0"/>
        </a:defRPr>
      </a:pPr>
      <a:endParaRPr lang="ja-JP"/>
    </a:p>
  </c:txPr>
  <c:printSettings>
    <c:headerFooter alignWithMargins="0"/>
    <c:pageMargins b="1" l="0.75" r="0.75" t="1" header="0.51200000000000001" footer="0.51200000000000001"/>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79312577587595E-2"/>
          <c:y val="0.2295352387649546"/>
          <c:w val="0.77770672546857778"/>
          <c:h val="0.59583778232186302"/>
        </c:manualLayout>
      </c:layout>
      <c:barChart>
        <c:barDir val="col"/>
        <c:grouping val="clustered"/>
        <c:varyColors val="0"/>
        <c:ser>
          <c:idx val="1"/>
          <c:order val="0"/>
          <c:tx>
            <c:strRef>
              <c:f>'Ⅲ-2-(1)_連結PL'!$S$39</c:f>
              <c:strCache>
                <c:ptCount val="1"/>
                <c:pt idx="0">
                  <c:v>売上高
Net Sales</c:v>
                </c:pt>
              </c:strCache>
            </c:strRef>
          </c:tx>
          <c:spPr>
            <a:solidFill>
              <a:srgbClr val="004098"/>
            </a:solidFill>
            <a:ln w="12700">
              <a:noFill/>
              <a:prstDash val="solid"/>
            </a:ln>
          </c:spPr>
          <c:invertIfNegative val="0"/>
          <c:cat>
            <c:strRef>
              <c:f>'Ⅲ-2-(1)_連結PL'!$T$38:$AD$38</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'Ⅲ-2-(1)_連結PL'!$T$39:$AD$39</c:f>
              <c:numCache>
                <c:formatCode>#,##0;"▲ "#,##0</c:formatCode>
                <c:ptCount val="11"/>
                <c:pt idx="0">
                  <c:v>68607</c:v>
                </c:pt>
                <c:pt idx="1">
                  <c:v>67179</c:v>
                </c:pt>
                <c:pt idx="2">
                  <c:v>75153</c:v>
                </c:pt>
                <c:pt idx="3">
                  <c:v>79908</c:v>
                </c:pt>
                <c:pt idx="4">
                  <c:v>78143</c:v>
                </c:pt>
                <c:pt idx="5">
                  <c:v>74874</c:v>
                </c:pt>
                <c:pt idx="6">
                  <c:v>81482</c:v>
                </c:pt>
                <c:pt idx="7">
                  <c:v>88778</c:v>
                </c:pt>
                <c:pt idx="8">
                  <c:v>97606</c:v>
                </c:pt>
                <c:pt idx="9">
                  <c:v>104021</c:v>
                </c:pt>
                <c:pt idx="10">
                  <c:v>113854</c:v>
                </c:pt>
              </c:numCache>
            </c:numRef>
          </c:val>
          <c:extLst>
            <c:ext xmlns:c16="http://schemas.microsoft.com/office/drawing/2014/chart" uri="{C3380CC4-5D6E-409C-BE32-E72D297353CC}">
              <c16:uniqueId val="{00000000-E93F-4419-A76C-98874C01A55A}"/>
            </c:ext>
          </c:extLst>
        </c:ser>
        <c:dLbls>
          <c:showLegendKey val="0"/>
          <c:showVal val="0"/>
          <c:showCatName val="0"/>
          <c:showSerName val="0"/>
          <c:showPercent val="0"/>
          <c:showBubbleSize val="0"/>
        </c:dLbls>
        <c:gapWidth val="150"/>
        <c:axId val="758294344"/>
        <c:axId val="758294736"/>
      </c:barChart>
      <c:lineChart>
        <c:grouping val="standard"/>
        <c:varyColors val="0"/>
        <c:ser>
          <c:idx val="0"/>
          <c:order val="1"/>
          <c:tx>
            <c:strRef>
              <c:f>'Ⅲ-2-(1)_連結PL'!$S$40</c:f>
              <c:strCache>
                <c:ptCount val="1"/>
                <c:pt idx="0">
                  <c:v>営業利益率
Operating Margin</c:v>
                </c:pt>
              </c:strCache>
            </c:strRef>
          </c:tx>
          <c:spPr>
            <a:ln w="12700">
              <a:solidFill>
                <a:srgbClr val="000000"/>
              </a:solidFill>
              <a:prstDash val="solid"/>
            </a:ln>
          </c:spPr>
          <c:marker>
            <c:symbol val="circle"/>
            <c:size val="7"/>
            <c:spPr>
              <a:solidFill>
                <a:srgbClr val="FFFFFF"/>
              </a:solidFill>
              <a:ln cap="rnd">
                <a:solidFill>
                  <a:srgbClr val="000000"/>
                </a:solidFill>
                <a:prstDash val="solid"/>
              </a:ln>
            </c:spPr>
          </c:marker>
          <c:cat>
            <c:strRef>
              <c:f>'Ⅲ-2-(1)_連結PL'!$T$38:$AD$38</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'Ⅲ-2-(1)_連結PL'!$T$40:$AD$40</c:f>
              <c:numCache>
                <c:formatCode>#,##0.0;"▲ "#,##0.0</c:formatCode>
                <c:ptCount val="11"/>
                <c:pt idx="0">
                  <c:v>50.273820203878294</c:v>
                </c:pt>
                <c:pt idx="1">
                  <c:v>48.224399887535647</c:v>
                </c:pt>
                <c:pt idx="2">
                  <c:v>47.996869588733709</c:v>
                </c:pt>
                <c:pt idx="3">
                  <c:v>46.457356834276169</c:v>
                </c:pt>
                <c:pt idx="4">
                  <c:v>46.080888423132777</c:v>
                </c:pt>
                <c:pt idx="5">
                  <c:v>48.383426929033632</c:v>
                </c:pt>
                <c:pt idx="6">
                  <c:v>51.022591366013302</c:v>
                </c:pt>
                <c:pt idx="7">
                  <c:v>49.311666594049228</c:v>
                </c:pt>
                <c:pt idx="8">
                  <c:v>50.137915809437793</c:v>
                </c:pt>
                <c:pt idx="9">
                  <c:v>52.110811956637448</c:v>
                </c:pt>
                <c:pt idx="10">
                  <c:v>52.565302035887207</c:v>
                </c:pt>
              </c:numCache>
            </c:numRef>
          </c:val>
          <c:smooth val="0"/>
          <c:extLst>
            <c:ext xmlns:c16="http://schemas.microsoft.com/office/drawing/2014/chart" uri="{C3380CC4-5D6E-409C-BE32-E72D297353CC}">
              <c16:uniqueId val="{00000001-E93F-4419-A76C-98874C01A55A}"/>
            </c:ext>
          </c:extLst>
        </c:ser>
        <c:dLbls>
          <c:showLegendKey val="0"/>
          <c:showVal val="0"/>
          <c:showCatName val="0"/>
          <c:showSerName val="0"/>
          <c:showPercent val="0"/>
          <c:showBubbleSize val="0"/>
        </c:dLbls>
        <c:marker val="1"/>
        <c:smooth val="0"/>
        <c:axId val="758295128"/>
        <c:axId val="758552384"/>
      </c:lineChart>
      <c:catAx>
        <c:axId val="7582943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a:pPr>
            <a:endParaRPr lang="ja-JP"/>
          </a:p>
        </c:txPr>
        <c:crossAx val="758294736"/>
        <c:crossesAt val="0"/>
        <c:auto val="0"/>
        <c:lblAlgn val="ctr"/>
        <c:lblOffset val="100"/>
        <c:tickLblSkip val="1"/>
        <c:tickMarkSkip val="1"/>
        <c:noMultiLvlLbl val="0"/>
      </c:catAx>
      <c:valAx>
        <c:axId val="758294736"/>
        <c:scaling>
          <c:orientation val="minMax"/>
          <c:max val="120000"/>
          <c:min val="0"/>
        </c:scaling>
        <c:delete val="0"/>
        <c:axPos val="l"/>
        <c:numFmt formatCode="#,##0;&quot;▲ &quot;#,##0" sourceLinked="1"/>
        <c:majorTickMark val="in"/>
        <c:minorTickMark val="none"/>
        <c:tickLblPos val="nextTo"/>
        <c:spPr>
          <a:ln w="3175">
            <a:solidFill>
              <a:srgbClr val="000000"/>
            </a:solidFill>
            <a:prstDash val="solid"/>
          </a:ln>
        </c:spPr>
        <c:txPr>
          <a:bodyPr rot="0" vert="horz"/>
          <a:lstStyle/>
          <a:p>
            <a:pPr>
              <a:defRPr sz="800"/>
            </a:pPr>
            <a:endParaRPr lang="ja-JP"/>
          </a:p>
        </c:txPr>
        <c:crossAx val="758294344"/>
        <c:crosses val="autoZero"/>
        <c:crossBetween val="between"/>
        <c:majorUnit val="20000"/>
        <c:minorUnit val="20000"/>
      </c:valAx>
      <c:catAx>
        <c:axId val="758295128"/>
        <c:scaling>
          <c:orientation val="minMax"/>
        </c:scaling>
        <c:delete val="1"/>
        <c:axPos val="b"/>
        <c:numFmt formatCode="General" sourceLinked="1"/>
        <c:majorTickMark val="out"/>
        <c:minorTickMark val="none"/>
        <c:tickLblPos val="nextTo"/>
        <c:crossAx val="758552384"/>
        <c:crosses val="autoZero"/>
        <c:auto val="0"/>
        <c:lblAlgn val="ctr"/>
        <c:lblOffset val="100"/>
        <c:noMultiLvlLbl val="0"/>
      </c:catAx>
      <c:valAx>
        <c:axId val="758552384"/>
        <c:scaling>
          <c:orientation val="minMax"/>
          <c:max val="60"/>
          <c:min val="0"/>
        </c:scaling>
        <c:delete val="0"/>
        <c:axPos val="r"/>
        <c:numFmt formatCode="#,##0.0;&quot;▲ &quot;#,##0.0" sourceLinked="1"/>
        <c:majorTickMark val="none"/>
        <c:minorTickMark val="none"/>
        <c:tickLblPos val="nextTo"/>
        <c:spPr>
          <a:ln w="3175">
            <a:solidFill>
              <a:srgbClr val="000000"/>
            </a:solidFill>
            <a:prstDash val="solid"/>
          </a:ln>
        </c:spPr>
        <c:txPr>
          <a:bodyPr rot="0" vert="horz"/>
          <a:lstStyle/>
          <a:p>
            <a:pPr>
              <a:defRPr sz="800"/>
            </a:pPr>
            <a:endParaRPr lang="ja-JP"/>
          </a:p>
        </c:txPr>
        <c:crossAx val="758295128"/>
        <c:crosses val="max"/>
        <c:crossBetween val="between"/>
      </c:valAx>
      <c:spPr>
        <a:solidFill>
          <a:srgbClr val="FFFFFF"/>
        </a:solidFill>
        <a:ln w="12700">
          <a:noFill/>
          <a:prstDash val="solid"/>
        </a:ln>
      </c:spPr>
    </c:plotArea>
    <c:legend>
      <c:legendPos val="r"/>
      <c:layout>
        <c:manualLayout>
          <c:xMode val="edge"/>
          <c:yMode val="edge"/>
          <c:x val="0.86574829193759817"/>
          <c:y val="0.32797424712154888"/>
          <c:w val="0.1342517080624018"/>
          <c:h val="0.3620913230482441"/>
        </c:manualLayout>
      </c:layout>
      <c:overlay val="0"/>
      <c:spPr>
        <a:solidFill>
          <a:srgbClr val="FFFFFF"/>
        </a:solidFill>
        <a:ln w="3175">
          <a:noFill/>
          <a:prstDash val="solid"/>
        </a:ln>
      </c:spPr>
      <c:txPr>
        <a:bodyPr/>
        <a:lstStyle/>
        <a:p>
          <a:pPr>
            <a:defRPr sz="800"/>
          </a:pPr>
          <a:endParaRPr lang="ja-JP"/>
        </a:p>
      </c:txPr>
    </c:legend>
    <c:plotVisOnly val="0"/>
    <c:dispBlanksAs val="gap"/>
    <c:showDLblsOverMax val="0"/>
  </c:chart>
  <c:spPr>
    <a:solidFill>
      <a:srgbClr val="FFFFFF"/>
    </a:solidFill>
    <a:ln w="12700">
      <a:noFill/>
      <a:prstDash val="solid"/>
    </a:ln>
  </c:spPr>
  <c:txPr>
    <a:bodyPr/>
    <a:lstStyle/>
    <a:p>
      <a:pPr>
        <a:defRPr sz="1100" b="0" i="0" u="none" strike="noStrike" baseline="0">
          <a:solidFill>
            <a:srgbClr val="000000"/>
          </a:solidFill>
          <a:latin typeface="+mn-lt"/>
          <a:ea typeface="+mn-ea"/>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hPercent val="24"/>
      <c:rotY val="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noFill/>
          <a:prstDash val="solid"/>
        </a:ln>
      </c:spPr>
    </c:sideWall>
    <c:backWall>
      <c:thickness val="0"/>
      <c:spPr>
        <a:solidFill>
          <a:srgbClr val="FFFFFF"/>
        </a:solidFill>
        <a:ln w="12700">
          <a:noFill/>
          <a:prstDash val="solid"/>
        </a:ln>
      </c:spPr>
    </c:backWall>
    <c:plotArea>
      <c:layout>
        <c:manualLayout>
          <c:layoutTarget val="inner"/>
          <c:xMode val="edge"/>
          <c:yMode val="edge"/>
          <c:x val="4.5902903567137145E-2"/>
          <c:y val="0.25068957716794399"/>
          <c:w val="0.66232452775756145"/>
          <c:h val="0.6619379656343054"/>
        </c:manualLayout>
      </c:layout>
      <c:bar3DChart>
        <c:barDir val="col"/>
        <c:grouping val="stacked"/>
        <c:varyColors val="0"/>
        <c:ser>
          <c:idx val="0"/>
          <c:order val="0"/>
          <c:tx>
            <c:strRef>
              <c:f>'Ⅱ-1-(3)_業態別AA出品台数'!$S$19</c:f>
              <c:strCache>
                <c:ptCount val="1"/>
                <c:pt idx="0">
                  <c:v>企業系
Company-affiliated</c:v>
                </c:pt>
              </c:strCache>
            </c:strRef>
          </c:tx>
          <c:spPr>
            <a:solidFill>
              <a:srgbClr val="004098"/>
            </a:solidFill>
            <a:ln w="12700">
              <a:noFill/>
              <a:prstDash val="solid"/>
            </a:ln>
          </c:spPr>
          <c:invertIfNegative val="0"/>
          <c:cat>
            <c:numRef>
              <c:f>'Ⅱ-1-(3)_業態別AA出品台数'!$T$18:$AD$18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'Ⅱ-1-(3)_業態別AA出品台数'!$T$19:$AD$19</c:f>
              <c:numCache>
                <c:formatCode>#,###,;[Red]\-#,</c:formatCode>
                <c:ptCount val="11"/>
                <c:pt idx="0">
                  <c:v>4699000</c:v>
                </c:pt>
                <c:pt idx="1">
                  <c:v>4708000</c:v>
                </c:pt>
                <c:pt idx="2">
                  <c:v>4840000</c:v>
                </c:pt>
                <c:pt idx="3">
                  <c:v>4665000</c:v>
                </c:pt>
                <c:pt idx="4">
                  <c:v>4783000</c:v>
                </c:pt>
                <c:pt idx="5">
                  <c:v>4376000</c:v>
                </c:pt>
                <c:pt idx="6">
                  <c:v>4383000</c:v>
                </c:pt>
                <c:pt idx="7">
                  <c:v>4464000</c:v>
                </c:pt>
                <c:pt idx="8">
                  <c:v>5037000</c:v>
                </c:pt>
                <c:pt idx="9">
                  <c:v>4832000</c:v>
                </c:pt>
                <c:pt idx="10">
                  <c:v>5223000</c:v>
                </c:pt>
              </c:numCache>
            </c:numRef>
          </c:val>
          <c:extLst>
            <c:ext xmlns:c16="http://schemas.microsoft.com/office/drawing/2014/chart" uri="{C3380CC4-5D6E-409C-BE32-E72D297353CC}">
              <c16:uniqueId val="{00000000-111A-44D3-8755-B7EE0E4DD237}"/>
            </c:ext>
          </c:extLst>
        </c:ser>
        <c:ser>
          <c:idx val="1"/>
          <c:order val="1"/>
          <c:tx>
            <c:strRef>
              <c:f>'Ⅱ-1-(3)_業態別AA出品台数'!$S$20</c:f>
              <c:strCache>
                <c:ptCount val="1"/>
                <c:pt idx="0">
                  <c:v>JU系
JU-affiliated</c:v>
                </c:pt>
              </c:strCache>
            </c:strRef>
          </c:tx>
          <c:spPr>
            <a:solidFill>
              <a:srgbClr val="1DB1E1"/>
            </a:solidFill>
            <a:ln w="12700">
              <a:noFill/>
              <a:prstDash val="solid"/>
            </a:ln>
          </c:spPr>
          <c:invertIfNegative val="0"/>
          <c:cat>
            <c:numRef>
              <c:f>'Ⅱ-1-(3)_業態別AA出品台数'!$T$18:$AD$18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'Ⅱ-1-(3)_業態別AA出品台数'!$T$20:$AD$20</c:f>
              <c:numCache>
                <c:formatCode>#,###,;[Red]\-#,</c:formatCode>
                <c:ptCount val="11"/>
                <c:pt idx="0">
                  <c:v>1279000</c:v>
                </c:pt>
                <c:pt idx="1">
                  <c:v>1290000</c:v>
                </c:pt>
                <c:pt idx="2">
                  <c:v>1339000</c:v>
                </c:pt>
                <c:pt idx="3">
                  <c:v>1336000</c:v>
                </c:pt>
                <c:pt idx="4">
                  <c:v>1407000</c:v>
                </c:pt>
                <c:pt idx="5">
                  <c:v>1318000</c:v>
                </c:pt>
                <c:pt idx="6">
                  <c:v>1277000</c:v>
                </c:pt>
                <c:pt idx="7">
                  <c:v>1264000</c:v>
                </c:pt>
                <c:pt idx="8">
                  <c:v>1440000</c:v>
                </c:pt>
                <c:pt idx="9">
                  <c:v>1340000</c:v>
                </c:pt>
                <c:pt idx="10">
                  <c:v>1370000</c:v>
                </c:pt>
              </c:numCache>
            </c:numRef>
          </c:val>
          <c:extLst>
            <c:ext xmlns:c16="http://schemas.microsoft.com/office/drawing/2014/chart" uri="{C3380CC4-5D6E-409C-BE32-E72D297353CC}">
              <c16:uniqueId val="{00000001-111A-44D3-8755-B7EE0E4DD237}"/>
            </c:ext>
          </c:extLst>
        </c:ser>
        <c:ser>
          <c:idx val="2"/>
          <c:order val="2"/>
          <c:tx>
            <c:strRef>
              <c:f>'Ⅱ-1-(3)_業態別AA出品台数'!$S$21</c:f>
              <c:strCache>
                <c:ptCount val="1"/>
                <c:pt idx="0">
                  <c:v>メーカー・ディーラー系
Manufacturer/Dealer-affiliated</c:v>
                </c:pt>
              </c:strCache>
            </c:strRef>
          </c:tx>
          <c:spPr>
            <a:solidFill>
              <a:srgbClr val="BDC3C4"/>
            </a:solidFill>
            <a:ln w="12700">
              <a:noFill/>
              <a:prstDash val="solid"/>
            </a:ln>
          </c:spPr>
          <c:invertIfNegative val="0"/>
          <c:cat>
            <c:numRef>
              <c:f>'Ⅱ-1-(3)_業態別AA出品台数'!$T$18:$AD$18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'Ⅱ-1-(3)_業態別AA出品台数'!$T$21:$AD$21</c:f>
              <c:numCache>
                <c:formatCode>#,###,;[Red]\-#,</c:formatCode>
                <c:ptCount val="11"/>
                <c:pt idx="0">
                  <c:v>1207000</c:v>
                </c:pt>
                <c:pt idx="1">
                  <c:v>1215000</c:v>
                </c:pt>
                <c:pt idx="2">
                  <c:v>1343000</c:v>
                </c:pt>
                <c:pt idx="3">
                  <c:v>1360000</c:v>
                </c:pt>
                <c:pt idx="4">
                  <c:v>1455000</c:v>
                </c:pt>
                <c:pt idx="5">
                  <c:v>1410000</c:v>
                </c:pt>
                <c:pt idx="6">
                  <c:v>1346000</c:v>
                </c:pt>
                <c:pt idx="7">
                  <c:v>1220000</c:v>
                </c:pt>
                <c:pt idx="8">
                  <c:v>1486000</c:v>
                </c:pt>
                <c:pt idx="9">
                  <c:v>1336000</c:v>
                </c:pt>
                <c:pt idx="10">
                  <c:v>1423000</c:v>
                </c:pt>
              </c:numCache>
            </c:numRef>
          </c:val>
          <c:extLst>
            <c:ext xmlns:c16="http://schemas.microsoft.com/office/drawing/2014/chart" uri="{C3380CC4-5D6E-409C-BE32-E72D297353CC}">
              <c16:uniqueId val="{00000002-111A-44D3-8755-B7EE0E4DD237}"/>
            </c:ext>
          </c:extLst>
        </c:ser>
        <c:dLbls>
          <c:showLegendKey val="0"/>
          <c:showVal val="0"/>
          <c:showCatName val="0"/>
          <c:showSerName val="0"/>
          <c:showPercent val="0"/>
          <c:showBubbleSize val="0"/>
        </c:dLbls>
        <c:gapWidth val="150"/>
        <c:gapDepth val="0"/>
        <c:shape val="box"/>
        <c:axId val="678147024"/>
        <c:axId val="678147416"/>
        <c:axId val="0"/>
      </c:bar3DChart>
      <c:catAx>
        <c:axId val="678147024"/>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800"/>
            </a:pPr>
            <a:endParaRPr lang="ja-JP"/>
          </a:p>
        </c:txPr>
        <c:crossAx val="678147416"/>
        <c:crosses val="autoZero"/>
        <c:auto val="0"/>
        <c:lblAlgn val="ctr"/>
        <c:lblOffset val="100"/>
        <c:tickLblSkip val="1"/>
        <c:tickMarkSkip val="1"/>
        <c:noMultiLvlLbl val="0"/>
      </c:catAx>
      <c:valAx>
        <c:axId val="678147416"/>
        <c:scaling>
          <c:orientation val="minMax"/>
        </c:scaling>
        <c:delete val="0"/>
        <c:axPos val="l"/>
        <c:numFmt formatCode="#,##0,;[Red]\-#,##0," sourceLinked="0"/>
        <c:majorTickMark val="in"/>
        <c:minorTickMark val="none"/>
        <c:tickLblPos val="nextTo"/>
        <c:spPr>
          <a:ln w="3175">
            <a:solidFill>
              <a:srgbClr val="000000"/>
            </a:solidFill>
            <a:prstDash val="solid"/>
          </a:ln>
        </c:spPr>
        <c:txPr>
          <a:bodyPr rot="0" vert="horz"/>
          <a:lstStyle/>
          <a:p>
            <a:pPr>
              <a:defRPr sz="800"/>
            </a:pPr>
            <a:endParaRPr lang="ja-JP"/>
          </a:p>
        </c:txPr>
        <c:crossAx val="678147024"/>
        <c:crosses val="autoZero"/>
        <c:crossBetween val="between"/>
        <c:majorUnit val="2000000"/>
      </c:valAx>
      <c:spPr>
        <a:noFill/>
        <a:ln w="25400">
          <a:noFill/>
        </a:ln>
      </c:spPr>
    </c:plotArea>
    <c:legend>
      <c:legendPos val="r"/>
      <c:layout>
        <c:manualLayout>
          <c:xMode val="edge"/>
          <c:yMode val="edge"/>
          <c:x val="0.71553943869489023"/>
          <c:y val="0.31366962145694982"/>
          <c:w val="0.22620700856204698"/>
          <c:h val="0.4635477439942004"/>
        </c:manualLayout>
      </c:layout>
      <c:overlay val="0"/>
      <c:txPr>
        <a:bodyPr/>
        <a:lstStyle/>
        <a:p>
          <a:pPr>
            <a:defRPr sz="700"/>
          </a:pPr>
          <a:endParaRPr lang="ja-JP"/>
        </a:p>
      </c:txPr>
    </c:legend>
    <c:plotVisOnly val="0"/>
    <c:dispBlanksAs val="gap"/>
    <c:showDLblsOverMax val="0"/>
  </c:chart>
  <c:spPr>
    <a:noFill/>
    <a:ln w="12700">
      <a:noFill/>
      <a:prstDash val="solid"/>
    </a:ln>
  </c:spPr>
  <c:txPr>
    <a:bodyPr/>
    <a:lstStyle/>
    <a:p>
      <a:pPr>
        <a:defRPr sz="1075" b="0" i="0" u="none" strike="noStrike" baseline="0">
          <a:solidFill>
            <a:srgbClr val="000000"/>
          </a:solidFill>
          <a:latin typeface="+mn-lt"/>
          <a:ea typeface="+mn-ea"/>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68007319434367"/>
          <c:y val="0.13496059026561574"/>
          <c:w val="0.38564402573926992"/>
          <c:h val="0.63522536751568359"/>
        </c:manualLayout>
      </c:layout>
      <c:doughnutChart>
        <c:varyColors val="1"/>
        <c:ser>
          <c:idx val="0"/>
          <c:order val="0"/>
          <c:tx>
            <c:strRef>
              <c:f>'Ⅱ-1-(4)_業界ｸﾞﾙｰﾌﾟ別出品台数'!$AB$47:$AB$54</c:f>
              <c:strCache>
                <c:ptCount val="8"/>
              </c:strCache>
            </c:strRef>
          </c:tx>
          <c:spPr>
            <a:solidFill>
              <a:srgbClr val="9999FF"/>
            </a:solidFill>
            <a:ln w="12700">
              <a:solidFill>
                <a:schemeClr val="bg1"/>
              </a:solidFill>
              <a:prstDash val="solid"/>
            </a:ln>
          </c:spPr>
          <c:explosion val="2"/>
          <c:dPt>
            <c:idx val="0"/>
            <c:bubble3D val="0"/>
            <c:spPr>
              <a:solidFill>
                <a:srgbClr val="004098"/>
              </a:solidFill>
              <a:ln w="12700">
                <a:solidFill>
                  <a:schemeClr val="bg1"/>
                </a:solidFill>
                <a:prstDash val="solid"/>
              </a:ln>
            </c:spPr>
            <c:extLst>
              <c:ext xmlns:c16="http://schemas.microsoft.com/office/drawing/2014/chart" uri="{C3380CC4-5D6E-409C-BE32-E72D297353CC}">
                <c16:uniqueId val="{00000001-6AA2-48ED-BF9B-1BDD01897B32}"/>
              </c:ext>
            </c:extLst>
          </c:dPt>
          <c:dPt>
            <c:idx val="1"/>
            <c:bubble3D val="0"/>
            <c:spPr>
              <a:gradFill rotWithShape="0">
                <a:gsLst>
                  <a:gs pos="0">
                    <a:srgbClr val="FFFFFF"/>
                  </a:gs>
                  <a:gs pos="100000">
                    <a:srgbClr val="993366"/>
                  </a:gs>
                </a:gsLst>
                <a:lin ang="18900000" scaled="1"/>
              </a:gradFill>
              <a:ln w="12700">
                <a:solidFill>
                  <a:schemeClr val="bg1"/>
                </a:solidFill>
                <a:prstDash val="solid"/>
              </a:ln>
            </c:spPr>
            <c:extLst>
              <c:ext xmlns:c16="http://schemas.microsoft.com/office/drawing/2014/chart" uri="{C3380CC4-5D6E-409C-BE32-E72D297353CC}">
                <c16:uniqueId val="{00000003-6AA2-48ED-BF9B-1BDD01897B32}"/>
              </c:ext>
            </c:extLst>
          </c:dPt>
          <c:dPt>
            <c:idx val="2"/>
            <c:bubble3D val="0"/>
            <c:spPr>
              <a:solidFill>
                <a:srgbClr val="1DB1E1"/>
              </a:solidFill>
              <a:ln w="12700">
                <a:solidFill>
                  <a:schemeClr val="bg1"/>
                </a:solidFill>
                <a:prstDash val="solid"/>
              </a:ln>
            </c:spPr>
            <c:extLst>
              <c:ext xmlns:c16="http://schemas.microsoft.com/office/drawing/2014/chart" uri="{C3380CC4-5D6E-409C-BE32-E72D297353CC}">
                <c16:uniqueId val="{00000005-6AA2-48ED-BF9B-1BDD01897B32}"/>
              </c:ext>
            </c:extLst>
          </c:dPt>
          <c:dPt>
            <c:idx val="3"/>
            <c:bubble3D val="0"/>
            <c:spPr>
              <a:solidFill>
                <a:srgbClr val="1A2232"/>
              </a:solidFill>
              <a:ln w="12700">
                <a:solidFill>
                  <a:schemeClr val="bg1"/>
                </a:solidFill>
                <a:prstDash val="solid"/>
              </a:ln>
            </c:spPr>
            <c:extLst>
              <c:ext xmlns:c16="http://schemas.microsoft.com/office/drawing/2014/chart" uri="{C3380CC4-5D6E-409C-BE32-E72D297353CC}">
                <c16:uniqueId val="{00000007-6AA2-48ED-BF9B-1BDD01897B32}"/>
              </c:ext>
            </c:extLst>
          </c:dPt>
          <c:dPt>
            <c:idx val="4"/>
            <c:bubble3D val="0"/>
            <c:spPr>
              <a:solidFill>
                <a:schemeClr val="accent4">
                  <a:lumMod val="60000"/>
                  <a:lumOff val="40000"/>
                </a:schemeClr>
              </a:solidFill>
              <a:ln w="12700">
                <a:solidFill>
                  <a:schemeClr val="bg1"/>
                </a:solidFill>
                <a:prstDash val="solid"/>
              </a:ln>
            </c:spPr>
            <c:extLst>
              <c:ext xmlns:c16="http://schemas.microsoft.com/office/drawing/2014/chart" uri="{C3380CC4-5D6E-409C-BE32-E72D297353CC}">
                <c16:uniqueId val="{00000009-6AA2-48ED-BF9B-1BDD01897B32}"/>
              </c:ext>
            </c:extLst>
          </c:dPt>
          <c:dPt>
            <c:idx val="5"/>
            <c:bubble3D val="0"/>
            <c:spPr>
              <a:solidFill>
                <a:schemeClr val="accent5">
                  <a:lumMod val="40000"/>
                  <a:lumOff val="60000"/>
                </a:schemeClr>
              </a:solidFill>
              <a:ln w="12700">
                <a:solidFill>
                  <a:schemeClr val="bg1"/>
                </a:solidFill>
                <a:prstDash val="solid"/>
              </a:ln>
            </c:spPr>
            <c:extLst>
              <c:ext xmlns:c16="http://schemas.microsoft.com/office/drawing/2014/chart" uri="{C3380CC4-5D6E-409C-BE32-E72D297353CC}">
                <c16:uniqueId val="{0000000B-6AA2-48ED-BF9B-1BDD01897B32}"/>
              </c:ext>
            </c:extLst>
          </c:dPt>
          <c:dPt>
            <c:idx val="6"/>
            <c:bubble3D val="0"/>
            <c:spPr>
              <a:solidFill>
                <a:srgbClr val="BDC3C4"/>
              </a:solidFill>
              <a:ln w="12700">
                <a:solidFill>
                  <a:schemeClr val="bg1"/>
                </a:solidFill>
                <a:prstDash val="solid"/>
              </a:ln>
            </c:spPr>
            <c:extLst>
              <c:ext xmlns:c16="http://schemas.microsoft.com/office/drawing/2014/chart" uri="{C3380CC4-5D6E-409C-BE32-E72D297353CC}">
                <c16:uniqueId val="{0000000D-6AA2-48ED-BF9B-1BDD01897B32}"/>
              </c:ext>
            </c:extLst>
          </c:dPt>
          <c:dPt>
            <c:idx val="7"/>
            <c:bubble3D val="0"/>
            <c:spPr>
              <a:solidFill>
                <a:srgbClr val="E9EBEB"/>
              </a:solidFill>
              <a:ln w="12700">
                <a:solidFill>
                  <a:schemeClr val="bg1"/>
                </a:solidFill>
                <a:prstDash val="solid"/>
              </a:ln>
            </c:spPr>
            <c:extLst>
              <c:ext xmlns:c16="http://schemas.microsoft.com/office/drawing/2014/chart" uri="{C3380CC4-5D6E-409C-BE32-E72D297353CC}">
                <c16:uniqueId val="{0000000F-6AA2-48ED-BF9B-1BDD01897B32}"/>
              </c:ext>
            </c:extLst>
          </c:dPt>
          <c:cat>
            <c:numRef>
              <c:f>'Ⅱ-1-(4)_業界ｸﾞﾙｰﾌﾟ別出品台数'!$AB$47:$AB$54</c:f>
              <c:numCache>
                <c:formatCode>General</c:formatCode>
                <c:ptCount val="8"/>
              </c:numCache>
            </c:numRef>
          </c:cat>
          <c:val>
            <c:numRef>
              <c:f>'Ⅱ-1-(4)_業界ｸﾞﾙｰﾌﾟ別出品台数'!$BB$10:$BB$17</c:f>
              <c:numCache>
                <c:formatCode>0.0_ </c:formatCode>
                <c:ptCount val="8"/>
                <c:pt idx="0">
                  <c:v>43.2</c:v>
                </c:pt>
                <c:pt idx="1">
                  <c:v>0</c:v>
                </c:pt>
                <c:pt idx="2">
                  <c:v>12.4</c:v>
                </c:pt>
                <c:pt idx="3">
                  <c:v>5.7</c:v>
                </c:pt>
                <c:pt idx="4">
                  <c:v>5.6000000000000005</c:v>
                </c:pt>
                <c:pt idx="5">
                  <c:v>3.2</c:v>
                </c:pt>
                <c:pt idx="6">
                  <c:v>3</c:v>
                </c:pt>
                <c:pt idx="7">
                  <c:v>26.899999999999991</c:v>
                </c:pt>
              </c:numCache>
            </c:numRef>
          </c:val>
          <c:extLst>
            <c:ext xmlns:c16="http://schemas.microsoft.com/office/drawing/2014/chart" uri="{C3380CC4-5D6E-409C-BE32-E72D297353CC}">
              <c16:uniqueId val="{00000010-6AA2-48ED-BF9B-1BDD01897B32}"/>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0"/>
    <c:dispBlanksAs val="zero"/>
    <c:showDLblsOverMax val="0"/>
  </c:char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11283273893645E-2"/>
          <c:y val="0.16262989244432544"/>
          <c:w val="0.85985073488156416"/>
          <c:h val="0.44454660283292896"/>
        </c:manualLayout>
      </c:layout>
      <c:lineChart>
        <c:grouping val="standard"/>
        <c:varyColors val="0"/>
        <c:ser>
          <c:idx val="0"/>
          <c:order val="0"/>
          <c:tx>
            <c:strRef>
              <c:f>'Ⅱ-1-(4)_業界ｸﾞﾙｰﾌﾟ別出品台数'!$AD$26</c:f>
              <c:strCache>
                <c:ptCount val="1"/>
                <c:pt idx="0">
                  <c:v>USSシェア</c:v>
                </c:pt>
              </c:strCache>
            </c:strRef>
          </c:tx>
          <c:spPr>
            <a:ln w="12700">
              <a:solidFill>
                <a:sysClr val="windowText" lastClr="000000"/>
              </a:solidFill>
              <a:prstDash val="solid"/>
              <a:tailEnd type="none"/>
            </a:ln>
          </c:spPr>
          <c:marker>
            <c:symbol val="circle"/>
            <c:size val="5"/>
            <c:spPr>
              <a:solidFill>
                <a:schemeClr val="bg1"/>
              </a:solidFill>
              <a:ln cap="rnd">
                <a:solidFill>
                  <a:sysClr val="windowText" lastClr="000000"/>
                </a:solidFill>
                <a:prstDash val="solid"/>
              </a:ln>
            </c:spPr>
          </c:marker>
          <c:cat>
            <c:numRef>
              <c:f>'Ⅱ-1-(4)_業界ｸﾞﾙｰﾌﾟ別出品台数'!$AT$25:$BN$25</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'Ⅱ-1-(4)_業界ｸﾞﾙｰﾌﾟ別出品台数'!$AT$26:$BN$26</c:f>
              <c:numCache>
                <c:formatCode>0.0_ </c:formatCode>
                <c:ptCount val="21"/>
                <c:pt idx="0">
                  <c:v>32.300000000000004</c:v>
                </c:pt>
                <c:pt idx="1">
                  <c:v>33.4</c:v>
                </c:pt>
                <c:pt idx="2">
                  <c:v>34.1</c:v>
                </c:pt>
                <c:pt idx="3">
                  <c:v>34.699999999999996</c:v>
                </c:pt>
                <c:pt idx="4">
                  <c:v>33.800000000000004</c:v>
                </c:pt>
                <c:pt idx="5">
                  <c:v>33.800000000000004</c:v>
                </c:pt>
                <c:pt idx="6">
                  <c:v>33</c:v>
                </c:pt>
                <c:pt idx="7">
                  <c:v>31.5</c:v>
                </c:pt>
                <c:pt idx="8">
                  <c:v>31.8</c:v>
                </c:pt>
                <c:pt idx="9">
                  <c:v>32.300000000000004</c:v>
                </c:pt>
                <c:pt idx="10">
                  <c:v>33</c:v>
                </c:pt>
                <c:pt idx="11">
                  <c:v>32.5</c:v>
                </c:pt>
                <c:pt idx="12">
                  <c:v>34.4</c:v>
                </c:pt>
                <c:pt idx="13">
                  <c:v>39.4</c:v>
                </c:pt>
                <c:pt idx="14">
                  <c:v>39</c:v>
                </c:pt>
                <c:pt idx="15">
                  <c:v>37.700000000000003</c:v>
                </c:pt>
                <c:pt idx="16">
                  <c:v>39.5</c:v>
                </c:pt>
                <c:pt idx="17">
                  <c:v>40.799999999999997</c:v>
                </c:pt>
                <c:pt idx="18">
                  <c:v>39.6</c:v>
                </c:pt>
                <c:pt idx="19">
                  <c:v>41.4</c:v>
                </c:pt>
                <c:pt idx="20">
                  <c:v>43.2</c:v>
                </c:pt>
              </c:numCache>
            </c:numRef>
          </c:val>
          <c:smooth val="0"/>
          <c:extLst>
            <c:ext xmlns:c16="http://schemas.microsoft.com/office/drawing/2014/chart" uri="{C3380CC4-5D6E-409C-BE32-E72D297353CC}">
              <c16:uniqueId val="{00000000-34AA-4898-B354-3F0EFF47E1F4}"/>
            </c:ext>
          </c:extLst>
        </c:ser>
        <c:dLbls>
          <c:showLegendKey val="0"/>
          <c:showVal val="0"/>
          <c:showCatName val="0"/>
          <c:showSerName val="0"/>
          <c:showPercent val="0"/>
          <c:showBubbleSize val="0"/>
        </c:dLbls>
        <c:marker val="1"/>
        <c:smooth val="0"/>
        <c:axId val="752555936"/>
        <c:axId val="752556328"/>
      </c:lineChart>
      <c:catAx>
        <c:axId val="7525559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600"/>
            </a:pPr>
            <a:endParaRPr lang="ja-JP"/>
          </a:p>
        </c:txPr>
        <c:crossAx val="752556328"/>
        <c:crosses val="autoZero"/>
        <c:auto val="1"/>
        <c:lblAlgn val="ctr"/>
        <c:lblOffset val="100"/>
        <c:noMultiLvlLbl val="0"/>
      </c:catAx>
      <c:valAx>
        <c:axId val="752556328"/>
        <c:scaling>
          <c:orientation val="minMax"/>
          <c:min val="15"/>
        </c:scaling>
        <c:delete val="0"/>
        <c:axPos val="l"/>
        <c:numFmt formatCode="0.0_ " sourceLinked="1"/>
        <c:majorTickMark val="in"/>
        <c:minorTickMark val="none"/>
        <c:tickLblPos val="nextTo"/>
        <c:spPr>
          <a:ln w="3175">
            <a:solidFill>
              <a:srgbClr val="000000"/>
            </a:solidFill>
            <a:prstDash val="solid"/>
          </a:ln>
        </c:spPr>
        <c:txPr>
          <a:bodyPr rot="0" vert="horz"/>
          <a:lstStyle/>
          <a:p>
            <a:pPr>
              <a:defRPr sz="700"/>
            </a:pPr>
            <a:endParaRPr lang="ja-JP"/>
          </a:p>
        </c:txPr>
        <c:crossAx val="752555936"/>
        <c:crosses val="autoZero"/>
        <c:crossBetween val="between"/>
      </c:valAx>
      <c:spPr>
        <a:solidFill>
          <a:srgbClr val="FFFFFF"/>
        </a:solidFill>
        <a:ln w="3175">
          <a:noFill/>
          <a:prstDash val="solid"/>
        </a:ln>
      </c:spPr>
    </c:plotArea>
    <c:plotVisOnly val="0"/>
    <c:dispBlanksAs val="gap"/>
    <c:showDLblsOverMax val="0"/>
  </c:chart>
  <c:spPr>
    <a:noFill/>
    <a:ln w="12700">
      <a:noFill/>
      <a:prstDash val="solid"/>
    </a:ln>
  </c:spPr>
  <c:txPr>
    <a:bodyPr/>
    <a:lstStyle/>
    <a:p>
      <a:pPr>
        <a:defRPr sz="850" b="0" i="0" u="none" strike="noStrike" baseline="0">
          <a:solidFill>
            <a:srgbClr val="000000"/>
          </a:solidFill>
          <a:latin typeface="+mn-lt"/>
          <a:ea typeface="+mn-ea"/>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503411422092209"/>
          <c:y val="0.26956598042906599"/>
          <c:w val="0.47427396679680245"/>
          <c:h val="0.6144944930210966"/>
        </c:manualLayout>
      </c:layout>
      <c:doughnutChart>
        <c:varyColors val="1"/>
        <c:ser>
          <c:idx val="0"/>
          <c:order val="0"/>
          <c:tx>
            <c:strRef>
              <c:f>'Ⅱ-1-(6)_地域別出品台数ﾗﾝｷﾝｸﾞ'!$AA$5:$AA$12</c:f>
              <c:strCache>
                <c:ptCount val="1"/>
                <c:pt idx="0">
                  <c:v>北海道 東北 関東・甲信越 中部 近畿 中国・四国 九州・沖縄 その他</c:v>
                </c:pt>
              </c:strCache>
            </c:strRef>
          </c:tx>
          <c:spPr>
            <a:solidFill>
              <a:srgbClr val="9999FF"/>
            </a:solidFill>
            <a:ln w="12700">
              <a:solidFill>
                <a:sysClr val="window" lastClr="FFFFFF"/>
              </a:solidFill>
              <a:prstDash val="solid"/>
            </a:ln>
          </c:spPr>
          <c:dPt>
            <c:idx val="0"/>
            <c:bubble3D val="0"/>
            <c:spPr>
              <a:solidFill>
                <a:srgbClr val="004098"/>
              </a:solidFill>
              <a:ln w="12700">
                <a:solidFill>
                  <a:sysClr val="window" lastClr="FFFFFF"/>
                </a:solidFill>
                <a:prstDash val="solid"/>
              </a:ln>
            </c:spPr>
            <c:extLst>
              <c:ext xmlns:c16="http://schemas.microsoft.com/office/drawing/2014/chart" uri="{C3380CC4-5D6E-409C-BE32-E72D297353CC}">
                <c16:uniqueId val="{00000001-BA95-48D9-AA07-8A416CA8BCC6}"/>
              </c:ext>
            </c:extLst>
          </c:dPt>
          <c:dPt>
            <c:idx val="1"/>
            <c:bubble3D val="0"/>
            <c:spPr>
              <a:solidFill>
                <a:srgbClr val="1DB1E1"/>
              </a:solidFill>
              <a:ln w="12700">
                <a:solidFill>
                  <a:sysClr val="window" lastClr="FFFFFF"/>
                </a:solidFill>
                <a:prstDash val="solid"/>
              </a:ln>
            </c:spPr>
            <c:extLst>
              <c:ext xmlns:c16="http://schemas.microsoft.com/office/drawing/2014/chart" uri="{C3380CC4-5D6E-409C-BE32-E72D297353CC}">
                <c16:uniqueId val="{00000003-BA95-48D9-AA07-8A416CA8BCC6}"/>
              </c:ext>
            </c:extLst>
          </c:dPt>
          <c:dPt>
            <c:idx val="2"/>
            <c:bubble3D val="0"/>
            <c:spPr>
              <a:solidFill>
                <a:srgbClr val="1A2232"/>
              </a:solidFill>
              <a:ln w="12700">
                <a:solidFill>
                  <a:sysClr val="window" lastClr="FFFFFF"/>
                </a:solidFill>
                <a:prstDash val="solid"/>
              </a:ln>
            </c:spPr>
            <c:extLst>
              <c:ext xmlns:c16="http://schemas.microsoft.com/office/drawing/2014/chart" uri="{C3380CC4-5D6E-409C-BE32-E72D297353CC}">
                <c16:uniqueId val="{00000005-BA95-48D9-AA07-8A416CA8BCC6}"/>
              </c:ext>
            </c:extLst>
          </c:dPt>
          <c:dPt>
            <c:idx val="3"/>
            <c:bubble3D val="0"/>
            <c:spPr>
              <a:solidFill>
                <a:sysClr val="window" lastClr="FFFFFF">
                  <a:lumMod val="75000"/>
                </a:sysClr>
              </a:solidFill>
              <a:ln w="12700">
                <a:solidFill>
                  <a:sysClr val="window" lastClr="FFFFFF"/>
                </a:solidFill>
                <a:prstDash val="solid"/>
              </a:ln>
            </c:spPr>
            <c:extLst>
              <c:ext xmlns:c16="http://schemas.microsoft.com/office/drawing/2014/chart" uri="{C3380CC4-5D6E-409C-BE32-E72D297353CC}">
                <c16:uniqueId val="{00000007-BA95-48D9-AA07-8A416CA8BCC6}"/>
              </c:ext>
            </c:extLst>
          </c:dPt>
          <c:dPt>
            <c:idx val="4"/>
            <c:bubble3D val="0"/>
            <c:spPr>
              <a:solidFill>
                <a:srgbClr val="8064A2">
                  <a:lumMod val="40000"/>
                  <a:lumOff val="60000"/>
                </a:srgbClr>
              </a:solidFill>
              <a:ln w="12700">
                <a:solidFill>
                  <a:sysClr val="window" lastClr="FFFFFF"/>
                </a:solidFill>
                <a:prstDash val="solid"/>
              </a:ln>
            </c:spPr>
            <c:extLst>
              <c:ext xmlns:c16="http://schemas.microsoft.com/office/drawing/2014/chart" uri="{C3380CC4-5D6E-409C-BE32-E72D297353CC}">
                <c16:uniqueId val="{00000009-BA95-48D9-AA07-8A416CA8BCC6}"/>
              </c:ext>
            </c:extLst>
          </c:dPt>
          <c:dPt>
            <c:idx val="5"/>
            <c:bubble3D val="0"/>
            <c:spPr>
              <a:solidFill>
                <a:srgbClr val="4BACC6">
                  <a:lumMod val="40000"/>
                  <a:lumOff val="60000"/>
                </a:srgbClr>
              </a:solidFill>
              <a:ln w="12700">
                <a:solidFill>
                  <a:sysClr val="window" lastClr="FFFFFF"/>
                </a:solidFill>
                <a:prstDash val="solid"/>
              </a:ln>
            </c:spPr>
            <c:extLst>
              <c:ext xmlns:c16="http://schemas.microsoft.com/office/drawing/2014/chart" uri="{C3380CC4-5D6E-409C-BE32-E72D297353CC}">
                <c16:uniqueId val="{0000000B-BA95-48D9-AA07-8A416CA8BCC6}"/>
              </c:ext>
            </c:extLst>
          </c:dPt>
          <c:dPt>
            <c:idx val="6"/>
            <c:bubble3D val="0"/>
            <c:spPr>
              <a:solidFill>
                <a:sysClr val="window" lastClr="FFFFFF">
                  <a:lumMod val="50000"/>
                </a:sysClr>
              </a:solidFill>
              <a:ln w="12700">
                <a:solidFill>
                  <a:sysClr val="window" lastClr="FFFFFF"/>
                </a:solidFill>
                <a:prstDash val="solid"/>
              </a:ln>
            </c:spPr>
            <c:extLst>
              <c:ext xmlns:c16="http://schemas.microsoft.com/office/drawing/2014/chart" uri="{C3380CC4-5D6E-409C-BE32-E72D297353CC}">
                <c16:uniqueId val="{0000000D-BA95-48D9-AA07-8A416CA8BCC6}"/>
              </c:ext>
            </c:extLst>
          </c:dPt>
          <c:dPt>
            <c:idx val="7"/>
            <c:bubble3D val="0"/>
            <c:spPr>
              <a:solidFill>
                <a:srgbClr val="969696"/>
              </a:solidFill>
              <a:ln w="12700">
                <a:solidFill>
                  <a:sysClr val="window" lastClr="FFFFFF"/>
                </a:solidFill>
                <a:prstDash val="solid"/>
              </a:ln>
            </c:spPr>
            <c:extLst>
              <c:ext xmlns:c16="http://schemas.microsoft.com/office/drawing/2014/chart" uri="{C3380CC4-5D6E-409C-BE32-E72D297353CC}">
                <c16:uniqueId val="{0000000F-BA95-48D9-AA07-8A416CA8BCC6}"/>
              </c:ext>
            </c:extLst>
          </c:dPt>
          <c:val>
            <c:numLit>
              <c:formatCode>General</c:formatCode>
              <c:ptCount val="8"/>
              <c:pt idx="0">
                <c:v>3.6000000000000004E-2</c:v>
              </c:pt>
              <c:pt idx="1">
                <c:v>4.4000000000000004E-2</c:v>
              </c:pt>
              <c:pt idx="2">
                <c:v>0.36899999999999999</c:v>
              </c:pt>
              <c:pt idx="3">
                <c:v>0.23899999999999999</c:v>
              </c:pt>
              <c:pt idx="4">
                <c:v>0.156</c:v>
              </c:pt>
              <c:pt idx="5">
                <c:v>6.0999999999999999E-2</c:v>
              </c:pt>
              <c:pt idx="6">
                <c:v>8.900000000000001E-2</c:v>
              </c:pt>
              <c:pt idx="7">
                <c:v>6.0000000000000053E-3</c:v>
              </c:pt>
            </c:numLit>
          </c:val>
          <c:extLst>
            <c:ext xmlns:c15="http://schemas.microsoft.com/office/drawing/2012/chart" uri="{02D57815-91ED-43cb-92C2-25804820EDAC}">
              <c15:filteredCategoryTitle>
                <c15:cat>
                  <c:multiLvlStrRef>
                    <c:extLst>
                      <c:ext uri="{02D57815-91ED-43cb-92C2-25804820EDAC}">
                        <c15:formulaRef>
                          <c15:sqref>'Ⅱ-1-(6)_地域別出品台数ﾗﾝｷﾝｸﾞ'!$AC$5:$AC$12</c15:sqref>
                        </c15:formulaRef>
                      </c:ext>
                    </c:extLst>
                  </c:multiLvlStrRef>
                </c15:cat>
              </c15:filteredCategoryTitle>
            </c:ext>
            <c:ext xmlns:c16="http://schemas.microsoft.com/office/drawing/2014/chart" uri="{C3380CC4-5D6E-409C-BE32-E72D297353CC}">
              <c16:uniqueId val="{00000010-BA95-48D9-AA07-8A416CA8BCC6}"/>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zero"/>
    <c:showDLblsOverMax val="0"/>
  </c:chart>
  <c:spPr>
    <a:noFill/>
    <a:ln w="9525">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902002835480114E-2"/>
          <c:y val="0.18211505934981756"/>
          <c:w val="0.78356065721974977"/>
          <c:h val="0.66473543550874559"/>
        </c:manualLayout>
      </c:layout>
      <c:barChart>
        <c:barDir val="col"/>
        <c:grouping val="clustered"/>
        <c:varyColors val="0"/>
        <c:ser>
          <c:idx val="3"/>
          <c:order val="0"/>
          <c:tx>
            <c:strRef>
              <c:f>'Ⅱ-1-(7)_二輪車業界指標'!$AE$8</c:f>
              <c:strCache>
                <c:ptCount val="1"/>
                <c:pt idx="0">
                  <c:v>二輪車販売台数
No.of motorcycles for sale</c:v>
                </c:pt>
              </c:strCache>
            </c:strRef>
          </c:tx>
          <c:spPr>
            <a:solidFill>
              <a:srgbClr val="004098"/>
            </a:solidFill>
            <a:ln w="12700">
              <a:noFill/>
              <a:prstDash val="solid"/>
            </a:ln>
          </c:spPr>
          <c:invertIfNegative val="0"/>
          <c:cat>
            <c:numRef>
              <c:f>'Ⅱ-1-(7)_二輪車業界指標'!$AH$6:$AR$6</c:f>
              <c:numCache>
                <c:formatCode>#;[Red]\-#</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'Ⅱ-1-(7)_二輪車業界指標'!$AH$8:$AR$8</c:f>
              <c:numCache>
                <c:formatCode>#,##0_);[Red]\(#,##0\)</c:formatCode>
                <c:ptCount val="11"/>
                <c:pt idx="0">
                  <c:v>406591</c:v>
                </c:pt>
                <c:pt idx="1">
                  <c:v>372891</c:v>
                </c:pt>
                <c:pt idx="2">
                  <c:v>383613</c:v>
                </c:pt>
                <c:pt idx="3">
                  <c:v>369114</c:v>
                </c:pt>
                <c:pt idx="4">
                  <c:v>362304</c:v>
                </c:pt>
                <c:pt idx="5">
                  <c:v>365924</c:v>
                </c:pt>
                <c:pt idx="6">
                  <c:v>415892</c:v>
                </c:pt>
                <c:pt idx="7">
                  <c:v>405201</c:v>
                </c:pt>
                <c:pt idx="8">
                  <c:v>405216</c:v>
                </c:pt>
                <c:pt idx="9">
                  <c:v>367960</c:v>
                </c:pt>
                <c:pt idx="10">
                  <c:v>361990</c:v>
                </c:pt>
              </c:numCache>
            </c:numRef>
          </c:val>
          <c:extLst>
            <c:ext xmlns:c16="http://schemas.microsoft.com/office/drawing/2014/chart" uri="{C3380CC4-5D6E-409C-BE32-E72D297353CC}">
              <c16:uniqueId val="{00000000-9CEF-4E2D-A915-5C0D10CE7F73}"/>
            </c:ext>
          </c:extLst>
        </c:ser>
        <c:dLbls>
          <c:showLegendKey val="0"/>
          <c:showVal val="0"/>
          <c:showCatName val="0"/>
          <c:showSerName val="0"/>
          <c:showPercent val="0"/>
          <c:showBubbleSize val="0"/>
        </c:dLbls>
        <c:gapWidth val="160"/>
        <c:axId val="756593704"/>
        <c:axId val="756858384"/>
      </c:barChart>
      <c:catAx>
        <c:axId val="756593704"/>
        <c:scaling>
          <c:orientation val="minMax"/>
        </c:scaling>
        <c:delete val="0"/>
        <c:axPos val="b"/>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756858384"/>
        <c:crossesAt val="0"/>
        <c:auto val="0"/>
        <c:lblAlgn val="ctr"/>
        <c:lblOffset val="100"/>
        <c:tickLblSkip val="1"/>
        <c:tickMarkSkip val="1"/>
        <c:noMultiLvlLbl val="0"/>
      </c:catAx>
      <c:valAx>
        <c:axId val="756858384"/>
        <c:scaling>
          <c:orientation val="minMax"/>
          <c:max val="500000"/>
          <c:min val="0"/>
        </c:scaling>
        <c:delete val="0"/>
        <c:axPos val="l"/>
        <c:numFmt formatCode="#,##0,;[Red]\-#,##0," sourceLinked="0"/>
        <c:majorTickMark val="in"/>
        <c:minorTickMark val="none"/>
        <c:tickLblPos val="nextTo"/>
        <c:spPr>
          <a:ln w="3175">
            <a:solidFill>
              <a:srgbClr val="000000"/>
            </a:solidFill>
            <a:prstDash val="solid"/>
          </a:ln>
        </c:spPr>
        <c:txPr>
          <a:bodyPr rot="0" vert="horz"/>
          <a:lstStyle/>
          <a:p>
            <a:pPr>
              <a:defRPr sz="700"/>
            </a:pPr>
            <a:endParaRPr lang="ja-JP"/>
          </a:p>
        </c:txPr>
        <c:crossAx val="756593704"/>
        <c:crosses val="autoZero"/>
        <c:crossBetween val="between"/>
        <c:majorUnit val="100000"/>
        <c:minorUnit val="10000"/>
      </c:valAx>
      <c:spPr>
        <a:solidFill>
          <a:srgbClr val="FFFFFF"/>
        </a:solidFill>
        <a:ln w="12700">
          <a:noFill/>
          <a:prstDash val="solid"/>
        </a:ln>
      </c:spPr>
    </c:plotArea>
    <c:plotVisOnly val="0"/>
    <c:dispBlanksAs val="gap"/>
    <c:showDLblsOverMax val="0"/>
  </c:chart>
  <c:spPr>
    <a:noFill/>
    <a:ln w="12700">
      <a:noFill/>
      <a:prstDash val="solid"/>
    </a:ln>
  </c:spPr>
  <c:txPr>
    <a:bodyPr/>
    <a:lstStyle/>
    <a:p>
      <a:pPr>
        <a:defRPr sz="800" b="0" i="0" u="none" strike="noStrike" baseline="0">
          <a:solidFill>
            <a:srgbClr val="000000"/>
          </a:solidFill>
          <a:latin typeface="+mn-lt"/>
          <a:ea typeface="+mn-ea"/>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42492642955349"/>
          <c:y val="0.15000107907387994"/>
          <c:w val="0.87727186484737574"/>
          <c:h val="0.72952853085036451"/>
        </c:manualLayout>
      </c:layout>
      <c:lineChart>
        <c:grouping val="standard"/>
        <c:varyColors val="0"/>
        <c:ser>
          <c:idx val="2"/>
          <c:order val="0"/>
          <c:tx>
            <c:strRef>
              <c:f>'Ⅱ-1-(7)_二輪車業界指標'!$AE$42</c:f>
              <c:strCache>
                <c:ptCount val="1"/>
                <c:pt idx="0">
                  <c:v>シェア
share</c:v>
                </c:pt>
              </c:strCache>
            </c:strRef>
          </c:tx>
          <c:spPr>
            <a:ln w="12700">
              <a:solidFill>
                <a:srgbClr val="000000"/>
              </a:solidFill>
              <a:prstDash val="solid"/>
            </a:ln>
          </c:spPr>
          <c:marker>
            <c:symbol val="circle"/>
            <c:size val="7"/>
            <c:spPr>
              <a:solidFill>
                <a:srgbClr val="FFFFFF"/>
              </a:solidFill>
              <a:ln cap="rnd">
                <a:solidFill>
                  <a:srgbClr val="000000"/>
                </a:solidFill>
                <a:prstDash val="solid"/>
              </a:ln>
            </c:spPr>
          </c:marker>
          <c:cat>
            <c:numRef>
              <c:f>'Ⅱ-1-(7)_二輪車業界指標'!$AF$39:$AP$39</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'Ⅱ-1-(7)_二輪車業界指標'!$AF$42:$AP$42</c:f>
              <c:numCache>
                <c:formatCode>#,##0.0;[Red]\-#,##0.0</c:formatCode>
                <c:ptCount val="11"/>
                <c:pt idx="0">
                  <c:v>25.6</c:v>
                </c:pt>
                <c:pt idx="1">
                  <c:v>23.7</c:v>
                </c:pt>
                <c:pt idx="2">
                  <c:v>24.2</c:v>
                </c:pt>
                <c:pt idx="3">
                  <c:v>26.200000000000003</c:v>
                </c:pt>
                <c:pt idx="4">
                  <c:v>26.700000000000003</c:v>
                </c:pt>
                <c:pt idx="5">
                  <c:v>29.799999999999997</c:v>
                </c:pt>
                <c:pt idx="6">
                  <c:v>31.2</c:v>
                </c:pt>
                <c:pt idx="7">
                  <c:v>33.900000000000006</c:v>
                </c:pt>
                <c:pt idx="8">
                  <c:v>33.300000000000004</c:v>
                </c:pt>
                <c:pt idx="9">
                  <c:v>33.800000000000004</c:v>
                </c:pt>
                <c:pt idx="10">
                  <c:v>34.799999999999997</c:v>
                </c:pt>
              </c:numCache>
            </c:numRef>
          </c:val>
          <c:smooth val="0"/>
          <c:extLst>
            <c:ext xmlns:c16="http://schemas.microsoft.com/office/drawing/2014/chart" uri="{C3380CC4-5D6E-409C-BE32-E72D297353CC}">
              <c16:uniqueId val="{00000000-5106-4D45-9054-1698EC9DDEB6}"/>
            </c:ext>
          </c:extLst>
        </c:ser>
        <c:dLbls>
          <c:showLegendKey val="0"/>
          <c:showVal val="0"/>
          <c:showCatName val="0"/>
          <c:showSerName val="0"/>
          <c:showPercent val="0"/>
          <c:showBubbleSize val="0"/>
        </c:dLbls>
        <c:marker val="1"/>
        <c:smooth val="0"/>
        <c:axId val="756592528"/>
        <c:axId val="756592920"/>
      </c:lineChart>
      <c:catAx>
        <c:axId val="7565925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756592920"/>
        <c:crossesAt val="0"/>
        <c:auto val="0"/>
        <c:lblAlgn val="ctr"/>
        <c:lblOffset val="100"/>
        <c:tickLblSkip val="1"/>
        <c:tickMarkSkip val="1"/>
        <c:noMultiLvlLbl val="0"/>
      </c:catAx>
      <c:valAx>
        <c:axId val="756592920"/>
        <c:scaling>
          <c:orientation val="minMax"/>
          <c:max val="40"/>
          <c:min val="10"/>
        </c:scaling>
        <c:delete val="0"/>
        <c:axPos val="l"/>
        <c:numFmt formatCode="#,##0.0;[Red]\-#,##0.0" sourceLinked="1"/>
        <c:majorTickMark val="in"/>
        <c:minorTickMark val="none"/>
        <c:tickLblPos val="nextTo"/>
        <c:spPr>
          <a:ln w="3175">
            <a:solidFill>
              <a:srgbClr val="000000"/>
            </a:solidFill>
            <a:prstDash val="solid"/>
          </a:ln>
        </c:spPr>
        <c:txPr>
          <a:bodyPr rot="0" vert="horz"/>
          <a:lstStyle/>
          <a:p>
            <a:pPr>
              <a:defRPr sz="700"/>
            </a:pPr>
            <a:endParaRPr lang="ja-JP"/>
          </a:p>
        </c:txPr>
        <c:crossAx val="756592528"/>
        <c:crosses val="autoZero"/>
        <c:crossBetween val="between"/>
        <c:majorUnit val="10"/>
        <c:minorUnit val="10"/>
      </c:valAx>
      <c:spPr>
        <a:ln w="12700">
          <a:noFill/>
          <a:prstDash val="solid"/>
        </a:ln>
      </c:spPr>
    </c:plotArea>
    <c:plotVisOnly val="0"/>
    <c:dispBlanksAs val="gap"/>
    <c:showDLblsOverMax val="0"/>
  </c:chart>
  <c:spPr>
    <a:noFill/>
    <a:ln w="12700">
      <a:noFill/>
      <a:prstDash val="solid"/>
    </a:ln>
  </c:spPr>
  <c:txPr>
    <a:bodyPr/>
    <a:lstStyle/>
    <a:p>
      <a:pPr>
        <a:defRPr sz="1050" b="0" i="0" u="none" strike="noStrike" baseline="0">
          <a:solidFill>
            <a:srgbClr val="000000"/>
          </a:solidFill>
          <a:latin typeface="+mn-lt"/>
          <a:ea typeface="+mn-ea"/>
          <a:cs typeface="Calibri" panose="020F0502020204030204" pitchFamily="34" charset="0"/>
        </a:defRPr>
      </a:pPr>
      <a:endParaRPr lang="ja-JP"/>
    </a:p>
  </c:txPr>
  <c:printSettings>
    <c:headerFooter alignWithMargins="0">
      <c:oddHeader>&amp;A</c:oddHeader>
      <c:oddFooter>Page &amp;P</c:oddFooter>
    </c:headerFooter>
    <c:pageMargins b="1" l="0.75" r="0.75" t="1" header="0.5" footer="0.5"/>
    <c:pageSetup paperSize="9" orientation="landscape" horizontalDpi="300" verticalDpi="3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823572733706822E-2"/>
          <c:y val="0.1609907120743034"/>
          <c:w val="0.75098316263385212"/>
          <c:h val="0.6674917516188219"/>
        </c:manualLayout>
      </c:layout>
      <c:barChart>
        <c:barDir val="col"/>
        <c:grouping val="clustered"/>
        <c:varyColors val="0"/>
        <c:ser>
          <c:idx val="1"/>
          <c:order val="0"/>
          <c:tx>
            <c:strRef>
              <c:f>'Ⅲ-1-(1)_ｾｸﾞﾒﾝﾄの状況'!$T$33</c:f>
              <c:strCache>
                <c:ptCount val="1"/>
                <c:pt idx="0">
                  <c:v>オートオークション
Auto Auction Business</c:v>
                </c:pt>
              </c:strCache>
            </c:strRef>
          </c:tx>
          <c:spPr>
            <a:solidFill>
              <a:srgbClr val="386AAE"/>
            </a:solidFill>
            <a:ln w="12700">
              <a:noFill/>
              <a:prstDash val="solid"/>
            </a:ln>
          </c:spPr>
          <c:invertIfNegative val="0"/>
          <c:cat>
            <c:strRef>
              <c:f>'Ⅲ-1-(1)_ｾｸﾞﾒﾝﾄの状況'!$V$32:$AF$32</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'Ⅲ-1-(1)_ｾｸﾞﾒﾝﾄの状況'!$V$33:$AF$33</c:f>
              <c:numCache>
                <c:formatCode>#,##0_);[Red]\(#,##0\)</c:formatCode>
                <c:ptCount val="11"/>
                <c:pt idx="0">
                  <c:v>53150</c:v>
                </c:pt>
                <c:pt idx="1">
                  <c:v>53311</c:v>
                </c:pt>
                <c:pt idx="2">
                  <c:v>60025</c:v>
                </c:pt>
                <c:pt idx="3">
                  <c:v>65141</c:v>
                </c:pt>
                <c:pt idx="4">
                  <c:v>63772</c:v>
                </c:pt>
                <c:pt idx="5">
                  <c:v>61429</c:v>
                </c:pt>
                <c:pt idx="6">
                  <c:v>65185</c:v>
                </c:pt>
                <c:pt idx="7">
                  <c:v>69594</c:v>
                </c:pt>
                <c:pt idx="8">
                  <c:v>75374</c:v>
                </c:pt>
                <c:pt idx="9">
                  <c:v>82142</c:v>
                </c:pt>
                <c:pt idx="10">
                  <c:v>90024</c:v>
                </c:pt>
              </c:numCache>
            </c:numRef>
          </c:val>
          <c:extLst>
            <c:ext xmlns:c16="http://schemas.microsoft.com/office/drawing/2014/chart" uri="{C3380CC4-5D6E-409C-BE32-E72D297353CC}">
              <c16:uniqueId val="{00000000-F8DC-4983-A88D-DD4E75786D0B}"/>
            </c:ext>
          </c:extLst>
        </c:ser>
        <c:ser>
          <c:idx val="0"/>
          <c:order val="1"/>
          <c:tx>
            <c:strRef>
              <c:f>'Ⅲ-1-(1)_ｾｸﾞﾒﾝﾄの状況'!$T$36</c:f>
              <c:strCache>
                <c:ptCount val="1"/>
                <c:pt idx="0">
                  <c:v>中古自動車等買取販売
Used Vehicle Sales/Purchases Business</c:v>
                </c:pt>
              </c:strCache>
            </c:strRef>
          </c:tx>
          <c:spPr>
            <a:solidFill>
              <a:srgbClr val="C55862"/>
            </a:solidFill>
            <a:ln w="12700">
              <a:noFill/>
              <a:prstDash val="solid"/>
            </a:ln>
          </c:spPr>
          <c:invertIfNegative val="0"/>
          <c:cat>
            <c:strRef>
              <c:f>'Ⅲ-1-(1)_ｾｸﾞﾒﾝﾄの状況'!$V$32:$AF$32</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'Ⅲ-1-(1)_ｾｸﾞﾒﾝﾄの状況'!$V$36:$AF$36</c:f>
              <c:numCache>
                <c:formatCode>#,##0;"▲ "#,##0</c:formatCode>
                <c:ptCount val="11"/>
                <c:pt idx="0">
                  <c:v>10097</c:v>
                </c:pt>
                <c:pt idx="1">
                  <c:v>9373</c:v>
                </c:pt>
                <c:pt idx="2">
                  <c:v>9827</c:v>
                </c:pt>
                <c:pt idx="3">
                  <c:v>9701</c:v>
                </c:pt>
                <c:pt idx="4">
                  <c:v>9099</c:v>
                </c:pt>
                <c:pt idx="5">
                  <c:v>8646</c:v>
                </c:pt>
                <c:pt idx="6">
                  <c:v>9300</c:v>
                </c:pt>
                <c:pt idx="7">
                  <c:v>10391</c:v>
                </c:pt>
                <c:pt idx="8">
                  <c:v>11431</c:v>
                </c:pt>
                <c:pt idx="9">
                  <c:v>12651</c:v>
                </c:pt>
                <c:pt idx="10">
                  <c:v>12470</c:v>
                </c:pt>
              </c:numCache>
            </c:numRef>
          </c:val>
          <c:extLst>
            <c:ext xmlns:c16="http://schemas.microsoft.com/office/drawing/2014/chart" uri="{C3380CC4-5D6E-409C-BE32-E72D297353CC}">
              <c16:uniqueId val="{00000001-F8DC-4983-A88D-DD4E75786D0B}"/>
            </c:ext>
          </c:extLst>
        </c:ser>
        <c:ser>
          <c:idx val="2"/>
          <c:order val="2"/>
          <c:tx>
            <c:strRef>
              <c:f>'Ⅲ-1-(1)_ｾｸﾞﾒﾝﾄの状況'!$T$39</c:f>
              <c:strCache>
                <c:ptCount val="1"/>
                <c:pt idx="0">
                  <c:v>リサイクル
Recycling Business</c:v>
                </c:pt>
              </c:strCache>
            </c:strRef>
          </c:tx>
          <c:spPr>
            <a:solidFill>
              <a:srgbClr val="6DB280"/>
            </a:solidFill>
            <a:ln w="12700">
              <a:noFill/>
              <a:prstDash val="solid"/>
            </a:ln>
          </c:spPr>
          <c:invertIfNegative val="0"/>
          <c:cat>
            <c:strRef>
              <c:f>'Ⅲ-1-(1)_ｾｸﾞﾒﾝﾄの状況'!$V$32:$AF$32</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'Ⅲ-1-(1)_ｾｸﾞﾒﾝﾄの状況'!$V$39:$AF$39</c:f>
              <c:numCache>
                <c:formatCode>#,##0;"▲ "#,##0</c:formatCode>
                <c:ptCount val="11"/>
                <c:pt idx="0">
                  <c:v>4670</c:v>
                </c:pt>
                <c:pt idx="1">
                  <c:v>4512</c:v>
                </c:pt>
                <c:pt idx="2">
                  <c:v>5243</c:v>
                </c:pt>
                <c:pt idx="3">
                  <c:v>4913</c:v>
                </c:pt>
                <c:pt idx="4">
                  <c:v>5163</c:v>
                </c:pt>
                <c:pt idx="5">
                  <c:v>4831</c:v>
                </c:pt>
                <c:pt idx="6">
                  <c:v>7241</c:v>
                </c:pt>
                <c:pt idx="7">
                  <c:v>8985</c:v>
                </c:pt>
                <c:pt idx="8">
                  <c:v>10529</c:v>
                </c:pt>
                <c:pt idx="9">
                  <c:v>8410</c:v>
                </c:pt>
                <c:pt idx="10">
                  <c:v>10296</c:v>
                </c:pt>
              </c:numCache>
            </c:numRef>
          </c:val>
          <c:extLst>
            <c:ext xmlns:c16="http://schemas.microsoft.com/office/drawing/2014/chart" uri="{C3380CC4-5D6E-409C-BE32-E72D297353CC}">
              <c16:uniqueId val="{00000002-F8DC-4983-A88D-DD4E75786D0B}"/>
            </c:ext>
          </c:extLst>
        </c:ser>
        <c:dLbls>
          <c:showLegendKey val="0"/>
          <c:showVal val="0"/>
          <c:showCatName val="0"/>
          <c:showSerName val="0"/>
          <c:showPercent val="0"/>
          <c:showBubbleSize val="0"/>
        </c:dLbls>
        <c:gapWidth val="150"/>
        <c:axId val="756859560"/>
        <c:axId val="756859952"/>
      </c:barChart>
      <c:catAx>
        <c:axId val="7568595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a:pPr>
            <a:endParaRPr lang="ja-JP"/>
          </a:p>
        </c:txPr>
        <c:crossAx val="756859952"/>
        <c:crosses val="autoZero"/>
        <c:auto val="0"/>
        <c:lblAlgn val="ctr"/>
        <c:lblOffset val="100"/>
        <c:tickLblSkip val="1"/>
        <c:tickMarkSkip val="1"/>
        <c:noMultiLvlLbl val="0"/>
      </c:catAx>
      <c:valAx>
        <c:axId val="756859952"/>
        <c:scaling>
          <c:orientation val="minMax"/>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a:pPr>
            <a:endParaRPr lang="ja-JP"/>
          </a:p>
        </c:txPr>
        <c:crossAx val="756859560"/>
        <c:crosses val="autoZero"/>
        <c:crossBetween val="between"/>
      </c:valAx>
      <c:spPr>
        <a:solidFill>
          <a:srgbClr val="FFFFFF"/>
        </a:solidFill>
        <a:ln w="12700">
          <a:noFill/>
          <a:prstDash val="solid"/>
        </a:ln>
      </c:spPr>
    </c:plotArea>
    <c:legend>
      <c:legendPos val="r"/>
      <c:layout>
        <c:manualLayout>
          <c:xMode val="edge"/>
          <c:yMode val="edge"/>
          <c:x val="0.80909697909193656"/>
          <c:y val="0.23564312657418335"/>
          <c:w val="0.18310968743382672"/>
          <c:h val="0.51527690700104489"/>
        </c:manualLayout>
      </c:layout>
      <c:overlay val="0"/>
      <c:txPr>
        <a:bodyPr/>
        <a:lstStyle/>
        <a:p>
          <a:pPr>
            <a:defRPr sz="800"/>
          </a:pPr>
          <a:endParaRPr lang="ja-JP"/>
        </a:p>
      </c:txPr>
    </c:legend>
    <c:plotVisOnly val="0"/>
    <c:dispBlanksAs val="gap"/>
    <c:showDLblsOverMax val="0"/>
  </c:chart>
  <c:spPr>
    <a:solidFill>
      <a:srgbClr val="FFFFFF"/>
    </a:solidFill>
    <a:ln w="12700">
      <a:noFill/>
      <a:prstDash val="solid"/>
    </a:ln>
  </c:spPr>
  <c:txPr>
    <a:bodyPr/>
    <a:lstStyle/>
    <a:p>
      <a:pPr>
        <a:defRPr sz="1100" b="0" i="0" u="none" strike="noStrike" baseline="0">
          <a:solidFill>
            <a:srgbClr val="000000"/>
          </a:solidFill>
          <a:latin typeface="+mn-lt"/>
          <a:ea typeface="+mn-ea"/>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421820</xdr:colOff>
      <xdr:row>11</xdr:row>
      <xdr:rowOff>163284</xdr:rowOff>
    </xdr:from>
    <xdr:to>
      <xdr:col>10</xdr:col>
      <xdr:colOff>176893</xdr:colOff>
      <xdr:row>14</xdr:row>
      <xdr:rowOff>54428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12320" y="1973034"/>
          <a:ext cx="8346623" cy="2739119"/>
        </a:xfrm>
        <a:prstGeom prst="rect">
          <a:avLst/>
        </a:prstGeom>
        <a:solidFill>
          <a:srgbClr val="00409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endParaRPr kumimoji="1" lang="ja-JP" altLang="en-US" sz="1600">
            <a:solidFill>
              <a:schemeClr val="bg1"/>
            </a:solidFill>
            <a:latin typeface="Angsana New" panose="02020603050405020304" pitchFamily="18" charset="-34"/>
            <a:cs typeface="Angsana New" panose="02020603050405020304" pitchFamily="18" charset="-34"/>
          </a:endParaRPr>
        </a:p>
      </xdr:txBody>
    </xdr:sp>
    <xdr:clientData/>
  </xdr:twoCellAnchor>
  <xdr:twoCellAnchor>
    <xdr:from>
      <xdr:col>1</xdr:col>
      <xdr:colOff>530981</xdr:colOff>
      <xdr:row>11</xdr:row>
      <xdr:rowOff>648633</xdr:rowOff>
    </xdr:from>
    <xdr:to>
      <xdr:col>10</xdr:col>
      <xdr:colOff>411906</xdr:colOff>
      <xdr:row>18</xdr:row>
      <xdr:rowOff>237396</xdr:rowOff>
    </xdr:to>
    <xdr:grpSp>
      <xdr:nvGrpSpPr>
        <xdr:cNvPr id="3" name="グループ化 2">
          <a:extLst>
            <a:ext uri="{FF2B5EF4-FFF2-40B4-BE49-F238E27FC236}">
              <a16:creationId xmlns:a16="http://schemas.microsoft.com/office/drawing/2014/main" id="{00000000-0008-0000-0100-000011000000}"/>
            </a:ext>
          </a:extLst>
        </xdr:cNvPr>
        <xdr:cNvGrpSpPr/>
      </xdr:nvGrpSpPr>
      <xdr:grpSpPr>
        <a:xfrm>
          <a:off x="721481" y="2458383"/>
          <a:ext cx="8472475" cy="4027413"/>
          <a:chOff x="534840" y="2352808"/>
          <a:chExt cx="9113096" cy="3287729"/>
        </a:xfrm>
      </xdr:grpSpPr>
      <xdr:sp macro="" textlink="">
        <xdr:nvSpPr>
          <xdr:cNvPr id="4" name="テキスト ボックス 3">
            <a:extLst>
              <a:ext uri="{FF2B5EF4-FFF2-40B4-BE49-F238E27FC236}">
                <a16:creationId xmlns:a16="http://schemas.microsoft.com/office/drawing/2014/main" id="{00000000-0008-0000-0100-000012000000}"/>
              </a:ext>
            </a:extLst>
          </xdr:cNvPr>
          <xdr:cNvSpPr txBox="1"/>
        </xdr:nvSpPr>
        <xdr:spPr>
          <a:xfrm>
            <a:off x="7866761" y="3767118"/>
            <a:ext cx="178117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Stock Code:4732</a:t>
            </a:r>
            <a:endParaRPr kumimoji="1" lang="ja-JP" altLang="en-US" sz="1100">
              <a:solidFill>
                <a:schemeClr val="bg1"/>
              </a:solidFill>
            </a:endParaRPr>
          </a:p>
        </xdr:txBody>
      </xdr:sp>
      <xdr:pic>
        <xdr:nvPicPr>
          <xdr:cNvPr id="5" name="Picture 9" descr="gifmark1">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19391" y="5022288"/>
            <a:ext cx="801775" cy="618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 name="グループ化 5">
            <a:extLst>
              <a:ext uri="{FF2B5EF4-FFF2-40B4-BE49-F238E27FC236}">
                <a16:creationId xmlns:a16="http://schemas.microsoft.com/office/drawing/2014/main" id="{00000000-0008-0000-0100-000014000000}"/>
              </a:ext>
            </a:extLst>
          </xdr:cNvPr>
          <xdr:cNvGrpSpPr/>
        </xdr:nvGrpSpPr>
        <xdr:grpSpPr>
          <a:xfrm>
            <a:off x="536366" y="3265177"/>
            <a:ext cx="3032807" cy="705478"/>
            <a:chOff x="536347" y="3246165"/>
            <a:chExt cx="3032850" cy="705483"/>
          </a:xfrm>
        </xdr:grpSpPr>
        <xdr:sp macro="" textlink="">
          <xdr:nvSpPr>
            <xdr:cNvPr id="11" name="テキスト ボックス 10">
              <a:extLst>
                <a:ext uri="{FF2B5EF4-FFF2-40B4-BE49-F238E27FC236}">
                  <a16:creationId xmlns:a16="http://schemas.microsoft.com/office/drawing/2014/main" id="{00000000-0008-0000-0100-00001A000000}"/>
                </a:ext>
              </a:extLst>
            </xdr:cNvPr>
            <xdr:cNvSpPr txBox="1"/>
          </xdr:nvSpPr>
          <xdr:spPr>
            <a:xfrm>
              <a:off x="538639" y="3246165"/>
              <a:ext cx="3030558" cy="705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bg1"/>
                  </a:solidFill>
                  <a:latin typeface="メイリオ" panose="020B0604030504040204" pitchFamily="50" charset="-128"/>
                  <a:ea typeface="メイリオ" panose="020B0604030504040204" pitchFamily="50" charset="-128"/>
                </a:rPr>
                <a:t>データブック </a:t>
              </a:r>
              <a:r>
                <a:rPr kumimoji="1" lang="en-US" altLang="ja-JP" sz="1400">
                  <a:solidFill>
                    <a:schemeClr val="bg1"/>
                  </a:solidFill>
                  <a:latin typeface="メイリオ" panose="020B0604030504040204" pitchFamily="50" charset="-128"/>
                  <a:ea typeface="メイリオ" panose="020B0604030504040204" pitchFamily="50" charset="-128"/>
                </a:rPr>
                <a:t>2026.3</a:t>
              </a:r>
              <a:endParaRPr kumimoji="1" lang="ja-JP" altLang="en-US" sz="1400">
                <a:solidFill>
                  <a:schemeClr val="bg1"/>
                </a:solidFill>
                <a:latin typeface="メイリオ" panose="020B0604030504040204" pitchFamily="50" charset="-128"/>
                <a:ea typeface="メイリオ" panose="020B0604030504040204" pitchFamily="50" charset="-128"/>
              </a:endParaRPr>
            </a:p>
          </xdr:txBody>
        </xdr:sp>
        <xdr:sp macro="" textlink="">
          <xdr:nvSpPr>
            <xdr:cNvPr id="12" name="テキスト ボックス 11">
              <a:extLst>
                <a:ext uri="{FF2B5EF4-FFF2-40B4-BE49-F238E27FC236}">
                  <a16:creationId xmlns:a16="http://schemas.microsoft.com/office/drawing/2014/main" id="{00000000-0008-0000-0100-00001B000000}"/>
                </a:ext>
              </a:extLst>
            </xdr:cNvPr>
            <xdr:cNvSpPr txBox="1"/>
          </xdr:nvSpPr>
          <xdr:spPr>
            <a:xfrm>
              <a:off x="536347" y="3471244"/>
              <a:ext cx="178117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bg1"/>
                  </a:solidFill>
                  <a:latin typeface="メイリオ" panose="020B0604030504040204" pitchFamily="50" charset="-128"/>
                  <a:ea typeface="メイリオ" panose="020B0604030504040204" pitchFamily="50" charset="-128"/>
                </a:rPr>
                <a:t>2026</a:t>
              </a:r>
              <a:r>
                <a:rPr kumimoji="1" lang="ja-JP" altLang="en-US" sz="900">
                  <a:solidFill>
                    <a:schemeClr val="bg1"/>
                  </a:solidFill>
                  <a:latin typeface="メイリオ" panose="020B0604030504040204" pitchFamily="50" charset="-128"/>
                  <a:ea typeface="メイリオ" panose="020B0604030504040204" pitchFamily="50" charset="-128"/>
                </a:rPr>
                <a:t>年</a:t>
              </a:r>
              <a:r>
                <a:rPr kumimoji="1" lang="en-US" altLang="ja-JP" sz="900">
                  <a:solidFill>
                    <a:schemeClr val="bg1"/>
                  </a:solidFill>
                  <a:latin typeface="メイリオ" panose="020B0604030504040204" pitchFamily="50" charset="-128"/>
                  <a:ea typeface="メイリオ" panose="020B0604030504040204" pitchFamily="50" charset="-128"/>
                </a:rPr>
                <a:t>3</a:t>
              </a:r>
              <a:r>
                <a:rPr kumimoji="1" lang="ja-JP" altLang="en-US" sz="900">
                  <a:solidFill>
                    <a:schemeClr val="bg1"/>
                  </a:solidFill>
                  <a:latin typeface="メイリオ" panose="020B0604030504040204" pitchFamily="50" charset="-128"/>
                  <a:ea typeface="メイリオ" panose="020B0604030504040204" pitchFamily="50" charset="-128"/>
                </a:rPr>
                <a:t>月期</a:t>
              </a:r>
            </a:p>
          </xdr:txBody>
        </xdr:sp>
      </xdr:grpSp>
      <xdr:grpSp>
        <xdr:nvGrpSpPr>
          <xdr:cNvPr id="7" name="グループ化 6">
            <a:extLst>
              <a:ext uri="{FF2B5EF4-FFF2-40B4-BE49-F238E27FC236}">
                <a16:creationId xmlns:a16="http://schemas.microsoft.com/office/drawing/2014/main" id="{00000000-0008-0000-0100-000015000000}"/>
              </a:ext>
            </a:extLst>
          </xdr:cNvPr>
          <xdr:cNvGrpSpPr/>
        </xdr:nvGrpSpPr>
        <xdr:grpSpPr>
          <a:xfrm>
            <a:off x="534840" y="2352808"/>
            <a:ext cx="4490239" cy="812177"/>
            <a:chOff x="534862" y="2315723"/>
            <a:chExt cx="4497791" cy="810079"/>
          </a:xfrm>
        </xdr:grpSpPr>
        <xdr:sp macro="" textlink="">
          <xdr:nvSpPr>
            <xdr:cNvPr id="9" name="テキスト ボックス 8">
              <a:extLst>
                <a:ext uri="{FF2B5EF4-FFF2-40B4-BE49-F238E27FC236}">
                  <a16:creationId xmlns:a16="http://schemas.microsoft.com/office/drawing/2014/main" id="{00000000-0008-0000-0100-000018000000}"/>
                </a:ext>
              </a:extLst>
            </xdr:cNvPr>
            <xdr:cNvSpPr txBox="1"/>
          </xdr:nvSpPr>
          <xdr:spPr>
            <a:xfrm>
              <a:off x="534862" y="2369682"/>
              <a:ext cx="4497791" cy="756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pPr>
                <a:lnSpc>
                  <a:spcPts val="2800"/>
                </a:lnSpc>
              </a:pPr>
              <a:r>
                <a:rPr kumimoji="1" lang="en-US" altLang="ja-JP" sz="3900" b="1">
                  <a:solidFill>
                    <a:schemeClr val="bg1"/>
                  </a:solidFill>
                  <a:latin typeface="Angsana New" panose="02020603050405020304" pitchFamily="18" charset="-34"/>
                  <a:cs typeface="Angsana New" panose="02020603050405020304" pitchFamily="18" charset="-34"/>
                </a:rPr>
                <a:t>USS</a:t>
              </a:r>
            </a:p>
            <a:p>
              <a:pPr>
                <a:lnSpc>
                  <a:spcPts val="2800"/>
                </a:lnSpc>
                <a:spcBef>
                  <a:spcPts val="600"/>
                </a:spcBef>
              </a:pPr>
              <a:r>
                <a:rPr kumimoji="1" lang="en-US" altLang="ja-JP" sz="3900" b="1">
                  <a:solidFill>
                    <a:schemeClr val="bg1"/>
                  </a:solidFill>
                  <a:latin typeface="Angsana New" panose="02020603050405020304" pitchFamily="18" charset="-34"/>
                  <a:cs typeface="Angsana New" panose="02020603050405020304" pitchFamily="18" charset="-34"/>
                </a:rPr>
                <a:t>Data</a:t>
              </a:r>
              <a:r>
                <a:rPr kumimoji="1" lang="ja-JP" altLang="en-US" sz="3900" b="1" baseline="0">
                  <a:solidFill>
                    <a:schemeClr val="bg1"/>
                  </a:solidFill>
                  <a:latin typeface="Angsana New" panose="02020603050405020304" pitchFamily="18" charset="-34"/>
                  <a:cs typeface="Angsana New" panose="02020603050405020304" pitchFamily="18" charset="-34"/>
                </a:rPr>
                <a:t> </a:t>
              </a:r>
              <a:r>
                <a:rPr kumimoji="1" lang="en-US" altLang="ja-JP" sz="3900" b="1" baseline="0">
                  <a:solidFill>
                    <a:schemeClr val="bg1"/>
                  </a:solidFill>
                  <a:latin typeface="Angsana New" panose="02020603050405020304" pitchFamily="18" charset="-34"/>
                  <a:cs typeface="Angsana New" panose="02020603050405020304" pitchFamily="18" charset="-34"/>
                </a:rPr>
                <a:t>Book 2026.3</a:t>
              </a:r>
            </a:p>
            <a:p>
              <a:endParaRPr kumimoji="1" lang="ja-JP" altLang="en-US" sz="3900">
                <a:solidFill>
                  <a:schemeClr val="bg1"/>
                </a:solidFill>
              </a:endParaRPr>
            </a:p>
          </xdr:txBody>
        </xdr:sp>
        <xdr:sp macro="" textlink="">
          <xdr:nvSpPr>
            <xdr:cNvPr id="10" name="テキスト ボックス 9">
              <a:extLst>
                <a:ext uri="{FF2B5EF4-FFF2-40B4-BE49-F238E27FC236}">
                  <a16:creationId xmlns:a16="http://schemas.microsoft.com/office/drawing/2014/main" id="{00000000-0008-0000-0100-000019000000}"/>
                </a:ext>
              </a:extLst>
            </xdr:cNvPr>
            <xdr:cNvSpPr txBox="1"/>
          </xdr:nvSpPr>
          <xdr:spPr>
            <a:xfrm>
              <a:off x="1660827" y="2315723"/>
              <a:ext cx="2247084" cy="503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en-US" altLang="ja-JP" sz="1000">
                  <a:solidFill>
                    <a:schemeClr val="bg1"/>
                  </a:solidFill>
                  <a:latin typeface="Angsana New" panose="02020603050405020304" pitchFamily="18" charset="-34"/>
                  <a:cs typeface="Angsana New" panose="02020603050405020304" pitchFamily="18" charset="-34"/>
                </a:rPr>
                <a:t>Used</a:t>
              </a:r>
              <a:r>
                <a:rPr kumimoji="1" lang="en-US" altLang="ja-JP" sz="1000" baseline="0">
                  <a:solidFill>
                    <a:schemeClr val="bg1"/>
                  </a:solidFill>
                  <a:latin typeface="Angsana New" panose="02020603050405020304" pitchFamily="18" charset="-34"/>
                  <a:cs typeface="Angsana New" panose="02020603050405020304" pitchFamily="18" charset="-34"/>
                </a:rPr>
                <a:t> car</a:t>
              </a:r>
            </a:p>
            <a:p>
              <a:pPr>
                <a:lnSpc>
                  <a:spcPts val="1000"/>
                </a:lnSpc>
              </a:pPr>
              <a:r>
                <a:rPr kumimoji="1" lang="en-US" altLang="ja-JP" sz="1000" baseline="0">
                  <a:solidFill>
                    <a:schemeClr val="bg1"/>
                  </a:solidFill>
                  <a:latin typeface="Angsana New" panose="02020603050405020304" pitchFamily="18" charset="-34"/>
                  <a:cs typeface="Angsana New" panose="02020603050405020304" pitchFamily="18" charset="-34"/>
                </a:rPr>
                <a:t>System</a:t>
              </a:r>
            </a:p>
            <a:p>
              <a:pPr>
                <a:lnSpc>
                  <a:spcPts val="1000"/>
                </a:lnSpc>
              </a:pPr>
              <a:r>
                <a:rPr kumimoji="1" lang="en-US" altLang="ja-JP" sz="1000" baseline="0">
                  <a:solidFill>
                    <a:schemeClr val="bg1"/>
                  </a:solidFill>
                  <a:latin typeface="Angsana New" panose="02020603050405020304" pitchFamily="18" charset="-34"/>
                  <a:cs typeface="Angsana New" panose="02020603050405020304" pitchFamily="18" charset="-34"/>
                </a:rPr>
                <a:t>Solutions</a:t>
              </a:r>
              <a:endParaRPr kumimoji="1" lang="ja-JP" altLang="en-US" sz="1000">
                <a:solidFill>
                  <a:schemeClr val="bg1"/>
                </a:solidFill>
                <a:latin typeface="Angsana New" panose="02020603050405020304" pitchFamily="18" charset="-34"/>
                <a:cs typeface="Angsana New" panose="02020603050405020304" pitchFamily="18" charset="-34"/>
              </a:endParaRPr>
            </a:p>
          </xdr:txBody>
        </xdr:sp>
      </xdr:grpSp>
      <xdr:pic>
        <xdr:nvPicPr>
          <xdr:cNvPr id="8" name="図 7">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2"/>
          <a:stretch>
            <a:fillRect/>
          </a:stretch>
        </xdr:blipFill>
        <xdr:spPr>
          <a:xfrm>
            <a:off x="616401" y="5096369"/>
            <a:ext cx="1454470" cy="397865"/>
          </a:xfrm>
          <a:prstGeom prst="rect">
            <a:avLst/>
          </a:prstGeom>
        </xdr:spPr>
      </xdr:pic>
    </xdr:grpSp>
    <xdr:clientData/>
  </xdr:twoCellAnchor>
  <xdr:twoCellAnchor>
    <xdr:from>
      <xdr:col>2</xdr:col>
      <xdr:colOff>23721</xdr:colOff>
      <xdr:row>12</xdr:row>
      <xdr:rowOff>808346</xdr:rowOff>
    </xdr:from>
    <xdr:to>
      <xdr:col>9</xdr:col>
      <xdr:colOff>635000</xdr:colOff>
      <xdr:row>12</xdr:row>
      <xdr:rowOff>808346</xdr:rowOff>
    </xdr:to>
    <xdr:cxnSp macro="">
      <xdr:nvCxnSpPr>
        <xdr:cNvPr id="13" name="直線コネクタ 12">
          <a:extLst>
            <a:ext uri="{FF2B5EF4-FFF2-40B4-BE49-F238E27FC236}">
              <a16:creationId xmlns:a16="http://schemas.microsoft.com/office/drawing/2014/main" id="{00000000-0008-0000-0100-000020000000}"/>
            </a:ext>
          </a:extLst>
        </xdr:cNvPr>
        <xdr:cNvCxnSpPr/>
      </xdr:nvCxnSpPr>
      <xdr:spPr bwMode="auto">
        <a:xfrm>
          <a:off x="804771" y="3437246"/>
          <a:ext cx="7945529" cy="0"/>
        </a:xfrm>
        <a:prstGeom prst="line">
          <a:avLst/>
        </a:prstGeom>
        <a:solidFill>
          <a:srgbClr xmlns:mc="http://schemas.openxmlformats.org/markup-compatibility/2006" xmlns:a14="http://schemas.microsoft.com/office/drawing/2010/main" val="FFFFFF" mc:Ignorable="a14" a14:legacySpreadsheetColorIndex="9"/>
        </a:solidFill>
        <a:ln w="12700"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631824</xdr:colOff>
      <xdr:row>0</xdr:row>
      <xdr:rowOff>634094</xdr:rowOff>
    </xdr:from>
    <xdr:to>
      <xdr:col>21</xdr:col>
      <xdr:colOff>627529</xdr:colOff>
      <xdr:row>2</xdr:row>
      <xdr:rowOff>112060</xdr:rowOff>
    </xdr:to>
    <xdr:sp macro="" textlink="">
      <xdr:nvSpPr>
        <xdr:cNvPr id="77" name="テキスト ボックス 76">
          <a:extLst>
            <a:ext uri="{FF2B5EF4-FFF2-40B4-BE49-F238E27FC236}">
              <a16:creationId xmlns:a16="http://schemas.microsoft.com/office/drawing/2014/main" id="{00000000-0008-0000-0900-00004D000000}"/>
            </a:ext>
          </a:extLst>
        </xdr:cNvPr>
        <xdr:cNvSpPr txBox="1"/>
      </xdr:nvSpPr>
      <xdr:spPr>
        <a:xfrm>
          <a:off x="631824" y="634094"/>
          <a:ext cx="10988676" cy="452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（６）地域別オートオークション会場出品台数ランキング（暦年）</a:t>
          </a:r>
          <a:r>
            <a:rPr kumimoji="1" lang="ja-JP" altLang="en-US" sz="1400" b="1">
              <a:latin typeface="メイリオ" panose="020B0604030504040204" pitchFamily="50" charset="-128"/>
              <a:ea typeface="メイリオ" panose="020B0604030504040204" pitchFamily="50" charset="-128"/>
            </a:rPr>
            <a:t>　</a:t>
          </a:r>
          <a:r>
            <a:rPr kumimoji="1" lang="en-US" altLang="ja-JP" sz="1000" b="0">
              <a:latin typeface="+mj-lt"/>
              <a:ea typeface="メイリオ" panose="020B0604030504040204" pitchFamily="50" charset="-128"/>
            </a:rPr>
            <a:t>Ranking of Auto Auction Sites by Number of Consigned Vehicles by Area (Calendar Year)</a:t>
          </a:r>
          <a:endParaRPr kumimoji="1" lang="ja-JP" altLang="en-US" sz="1050" b="0">
            <a:latin typeface="+mj-lt"/>
            <a:ea typeface="メイリオ" panose="020B0604030504040204" pitchFamily="50" charset="-128"/>
          </a:endParaRPr>
        </a:p>
      </xdr:txBody>
    </xdr:sp>
    <xdr:clientData/>
  </xdr:twoCellAnchor>
  <xdr:twoCellAnchor>
    <xdr:from>
      <xdr:col>21</xdr:col>
      <xdr:colOff>593910</xdr:colOff>
      <xdr:row>1</xdr:row>
      <xdr:rowOff>1</xdr:rowOff>
    </xdr:from>
    <xdr:to>
      <xdr:col>24</xdr:col>
      <xdr:colOff>201705</xdr:colOff>
      <xdr:row>2</xdr:row>
      <xdr:rowOff>100156</xdr:rowOff>
    </xdr:to>
    <xdr:sp macro="" textlink="">
      <xdr:nvSpPr>
        <xdr:cNvPr id="78" name="テキスト ボックス 77">
          <a:extLst>
            <a:ext uri="{FF2B5EF4-FFF2-40B4-BE49-F238E27FC236}">
              <a16:creationId xmlns:a16="http://schemas.microsoft.com/office/drawing/2014/main" id="{00000000-0008-0000-0900-00004E000000}"/>
            </a:ext>
          </a:extLst>
        </xdr:cNvPr>
        <xdr:cNvSpPr txBox="1"/>
      </xdr:nvSpPr>
      <xdr:spPr>
        <a:xfrm>
          <a:off x="11586881" y="728383"/>
          <a:ext cx="1131795" cy="346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900" b="1">
              <a:solidFill>
                <a:srgbClr val="BDC3C4"/>
              </a:solidFill>
              <a:latin typeface="メイリオ" panose="020B0604030504040204" pitchFamily="50" charset="-128"/>
              <a:ea typeface="メイリオ" panose="020B0604030504040204" pitchFamily="50" charset="-128"/>
            </a:rPr>
            <a:t>Ⅱ-1.</a:t>
          </a:r>
          <a:r>
            <a:rPr kumimoji="1" lang="ja-JP" altLang="en-US" sz="900" b="1">
              <a:solidFill>
                <a:srgbClr val="BDC3C4"/>
              </a:solidFill>
              <a:latin typeface="メイリオ" panose="020B0604030504040204" pitchFamily="50" charset="-128"/>
              <a:ea typeface="メイリオ" panose="020B0604030504040204" pitchFamily="50" charset="-128"/>
            </a:rPr>
            <a:t>業界データ</a:t>
          </a:r>
        </a:p>
      </xdr:txBody>
    </xdr:sp>
    <xdr:clientData/>
  </xdr:twoCellAnchor>
  <xdr:twoCellAnchor>
    <xdr:from>
      <xdr:col>9</xdr:col>
      <xdr:colOff>36285</xdr:colOff>
      <xdr:row>22</xdr:row>
      <xdr:rowOff>17387</xdr:rowOff>
    </xdr:from>
    <xdr:to>
      <xdr:col>18</xdr:col>
      <xdr:colOff>97519</xdr:colOff>
      <xdr:row>22</xdr:row>
      <xdr:rowOff>182638</xdr:rowOff>
    </xdr:to>
    <xdr:sp macro="" textlink="">
      <xdr:nvSpPr>
        <xdr:cNvPr id="80" name="Text Box 46">
          <a:extLst>
            <a:ext uri="{FF2B5EF4-FFF2-40B4-BE49-F238E27FC236}">
              <a16:creationId xmlns:a16="http://schemas.microsoft.com/office/drawing/2014/main" id="{00000000-0008-0000-0900-000050000000}"/>
            </a:ext>
          </a:extLst>
        </xdr:cNvPr>
        <xdr:cNvSpPr txBox="1">
          <a:spLocks noChangeArrowheads="1"/>
        </xdr:cNvSpPr>
      </xdr:nvSpPr>
      <xdr:spPr bwMode="auto">
        <a:xfrm>
          <a:off x="4839606" y="6126994"/>
          <a:ext cx="4551592" cy="1652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en-US" altLang="ja-JP" sz="1000" b="1" i="0" u="none" strike="noStrike" baseline="0">
              <a:solidFill>
                <a:srgbClr val="000000"/>
              </a:solidFill>
              <a:latin typeface="メイリオ" panose="020B0604030504040204" pitchFamily="50" charset="-128"/>
              <a:ea typeface="メイリオ" panose="020B0604030504040204" pitchFamily="50" charset="-128"/>
            </a:rPr>
            <a:t>2025</a:t>
          </a:r>
          <a:r>
            <a:rPr lang="ja-JP" altLang="en-US" sz="1000" b="1" i="0" u="none" strike="noStrike" baseline="0">
              <a:solidFill>
                <a:srgbClr val="000000"/>
              </a:solidFill>
              <a:latin typeface="メイリオ" panose="020B0604030504040204" pitchFamily="50" charset="-128"/>
              <a:ea typeface="メイリオ" panose="020B0604030504040204" pitchFamily="50" charset="-128"/>
            </a:rPr>
            <a:t>年地域別出品台数シェア　</a:t>
          </a:r>
          <a:r>
            <a:rPr lang="en-US" altLang="ja-JP" sz="900" b="0" i="0" u="none" strike="noStrike" baseline="0">
              <a:solidFill>
                <a:srgbClr val="000000"/>
              </a:solidFill>
              <a:latin typeface="+mj-lt"/>
              <a:ea typeface="メイリオ" panose="020B0604030504040204" pitchFamily="50" charset="-128"/>
              <a:cs typeface="Arial" panose="020B0604020202020204" pitchFamily="34" charset="0"/>
            </a:rPr>
            <a:t>Market Share by Area in 2025</a:t>
          </a:r>
          <a:endParaRPr lang="en-US" altLang="ja-JP" sz="1050" b="0" i="0" u="none" strike="noStrike" baseline="0">
            <a:solidFill>
              <a:srgbClr val="000000"/>
            </a:solidFill>
            <a:latin typeface="+mj-lt"/>
            <a:ea typeface="メイリオ" panose="020B0604030504040204" pitchFamily="50" charset="-128"/>
            <a:cs typeface="Arial" panose="020B0604020202020204" pitchFamily="34" charset="0"/>
          </a:endParaRPr>
        </a:p>
      </xdr:txBody>
    </xdr:sp>
    <xdr:clientData/>
  </xdr:twoCellAnchor>
  <xdr:twoCellAnchor>
    <xdr:from>
      <xdr:col>17</xdr:col>
      <xdr:colOff>195377</xdr:colOff>
      <xdr:row>22</xdr:row>
      <xdr:rowOff>145738</xdr:rowOff>
    </xdr:from>
    <xdr:to>
      <xdr:col>23</xdr:col>
      <xdr:colOff>601181</xdr:colOff>
      <xdr:row>33</xdr:row>
      <xdr:rowOff>29884</xdr:rowOff>
    </xdr:to>
    <xdr:grpSp>
      <xdr:nvGrpSpPr>
        <xdr:cNvPr id="8" name="グループ化 7">
          <a:extLst>
            <a:ext uri="{FF2B5EF4-FFF2-40B4-BE49-F238E27FC236}">
              <a16:creationId xmlns:a16="http://schemas.microsoft.com/office/drawing/2014/main" id="{00000000-0008-0000-0900-000008000000}"/>
            </a:ext>
          </a:extLst>
        </xdr:cNvPr>
        <xdr:cNvGrpSpPr/>
      </xdr:nvGrpSpPr>
      <xdr:grpSpPr>
        <a:xfrm>
          <a:off x="8698677" y="5781210"/>
          <a:ext cx="3209827" cy="2317497"/>
          <a:chOff x="8747274" y="6111712"/>
          <a:chExt cx="4268397" cy="3064192"/>
        </a:xfrm>
      </xdr:grpSpPr>
      <xdr:sp macro="" textlink="">
        <xdr:nvSpPr>
          <xdr:cNvPr id="1211913" name="Text Box 60">
            <a:extLst>
              <a:ext uri="{FF2B5EF4-FFF2-40B4-BE49-F238E27FC236}">
                <a16:creationId xmlns:a16="http://schemas.microsoft.com/office/drawing/2014/main" id="{00000000-0008-0000-0900-0000097E1200}"/>
              </a:ext>
            </a:extLst>
          </xdr:cNvPr>
          <xdr:cNvSpPr txBox="1">
            <a:spLocks noChangeArrowheads="1"/>
          </xdr:cNvSpPr>
        </xdr:nvSpPr>
        <xdr:spPr bwMode="auto">
          <a:xfrm>
            <a:off x="11772900" y="6428316"/>
            <a:ext cx="858309" cy="531274"/>
          </a:xfrm>
          <a:prstGeom prst="rect">
            <a:avLst/>
          </a:prstGeom>
          <a:noFill/>
          <a:ln>
            <a:noFill/>
          </a:ln>
          <a:effectLst/>
        </xdr:spPr>
        <xdr:txBody>
          <a:bodyPr vertOverflow="clip" wrap="square" lIns="27432" tIns="18288" rIns="0" bIns="0" anchor="t" upright="1"/>
          <a:lstStyle/>
          <a:p>
            <a:pPr algn="l" rtl="0">
              <a:lnSpc>
                <a:spcPts val="1200"/>
              </a:lnSpc>
              <a:defRPr sz="1000"/>
            </a:pPr>
            <a:r>
              <a:rPr lang="ja-JP" altLang="en-US" sz="900" b="0" i="0" u="none" strike="noStrike" baseline="0">
                <a:solidFill>
                  <a:srgbClr val="000000"/>
                </a:solidFill>
                <a:latin typeface="メイリオ" panose="020B0604030504040204" pitchFamily="50" charset="-128"/>
                <a:ea typeface="メイリオ" panose="020B0604030504040204" pitchFamily="50" charset="-128"/>
              </a:rPr>
              <a:t>北海道地区</a:t>
            </a:r>
          </a:p>
          <a:p>
            <a:pPr algn="l" rtl="0">
              <a:lnSpc>
                <a:spcPts val="1000"/>
              </a:lnSpc>
              <a:defRPr sz="1000"/>
            </a:pPr>
            <a:r>
              <a:rPr lang="ja-JP" altLang="en-US" sz="900" b="0" i="0" u="none" strike="noStrike" baseline="0">
                <a:solidFill>
                  <a:srgbClr val="000000"/>
                </a:solidFill>
                <a:latin typeface="+mj-lt"/>
                <a:ea typeface="メイリオ" panose="020B0604030504040204" pitchFamily="50" charset="-128"/>
              </a:rPr>
              <a:t>Hokkaido</a:t>
            </a:r>
          </a:p>
        </xdr:txBody>
      </xdr:sp>
      <xdr:grpSp>
        <xdr:nvGrpSpPr>
          <xdr:cNvPr id="1211912" name="Group 4">
            <a:extLst>
              <a:ext uri="{FF2B5EF4-FFF2-40B4-BE49-F238E27FC236}">
                <a16:creationId xmlns:a16="http://schemas.microsoft.com/office/drawing/2014/main" id="{00000000-0008-0000-0900-0000087E1200}"/>
              </a:ext>
            </a:extLst>
          </xdr:cNvPr>
          <xdr:cNvGrpSpPr>
            <a:grpSpLocks noChangeAspect="1"/>
          </xdr:cNvGrpSpPr>
        </xdr:nvGrpSpPr>
        <xdr:grpSpPr bwMode="auto">
          <a:xfrm>
            <a:off x="9406565" y="6111712"/>
            <a:ext cx="2375694" cy="2280870"/>
            <a:chOff x="68" y="935"/>
            <a:chExt cx="3069" cy="2797"/>
          </a:xfrm>
        </xdr:grpSpPr>
        <xdr:sp macro="" textlink="">
          <xdr:nvSpPr>
            <xdr:cNvPr id="1211921" name="Freeform 5">
              <a:extLst>
                <a:ext uri="{FF2B5EF4-FFF2-40B4-BE49-F238E27FC236}">
                  <a16:creationId xmlns:a16="http://schemas.microsoft.com/office/drawing/2014/main" id="{00000000-0008-0000-0900-0000117E1200}"/>
                </a:ext>
              </a:extLst>
            </xdr:cNvPr>
            <xdr:cNvSpPr>
              <a:spLocks noChangeAspect="1"/>
            </xdr:cNvSpPr>
          </xdr:nvSpPr>
          <xdr:spPr bwMode="auto">
            <a:xfrm rot="238154">
              <a:off x="2142" y="935"/>
              <a:ext cx="995" cy="875"/>
            </a:xfrm>
            <a:custGeom>
              <a:avLst/>
              <a:gdLst>
                <a:gd name="T0" fmla="*/ 676 w 804"/>
                <a:gd name="T1" fmla="*/ 5842 h 707"/>
                <a:gd name="T2" fmla="*/ 769 w 804"/>
                <a:gd name="T3" fmla="*/ 5599 h 707"/>
                <a:gd name="T4" fmla="*/ 999 w 804"/>
                <a:gd name="T5" fmla="*/ 5355 h 707"/>
                <a:gd name="T6" fmla="*/ 1027 w 804"/>
                <a:gd name="T7" fmla="*/ 5423 h 707"/>
                <a:gd name="T8" fmla="*/ 1282 w 804"/>
                <a:gd name="T9" fmla="*/ 5441 h 707"/>
                <a:gd name="T10" fmla="*/ 1573 w 804"/>
                <a:gd name="T11" fmla="*/ 5353 h 707"/>
                <a:gd name="T12" fmla="*/ 1322 w 804"/>
                <a:gd name="T13" fmla="*/ 5124 h 707"/>
                <a:gd name="T14" fmla="*/ 859 w 804"/>
                <a:gd name="T15" fmla="*/ 4868 h 707"/>
                <a:gd name="T16" fmla="*/ 679 w 804"/>
                <a:gd name="T17" fmla="*/ 4425 h 707"/>
                <a:gd name="T18" fmla="*/ 979 w 804"/>
                <a:gd name="T19" fmla="*/ 4267 h 707"/>
                <a:gd name="T20" fmla="*/ 1223 w 804"/>
                <a:gd name="T21" fmla="*/ 4533 h 707"/>
                <a:gd name="T22" fmla="*/ 1342 w 804"/>
                <a:gd name="T23" fmla="*/ 4698 h 707"/>
                <a:gd name="T24" fmla="*/ 2130 w 804"/>
                <a:gd name="T25" fmla="*/ 4249 h 707"/>
                <a:gd name="T26" fmla="*/ 2556 w 804"/>
                <a:gd name="T27" fmla="*/ 4443 h 707"/>
                <a:gd name="T28" fmla="*/ 2934 w 804"/>
                <a:gd name="T29" fmla="*/ 4660 h 707"/>
                <a:gd name="T30" fmla="*/ 3705 w 804"/>
                <a:gd name="T31" fmla="*/ 5009 h 707"/>
                <a:gd name="T32" fmla="*/ 3982 w 804"/>
                <a:gd name="T33" fmla="*/ 4868 h 707"/>
                <a:gd name="T34" fmla="*/ 4383 w 804"/>
                <a:gd name="T35" fmla="*/ 4094 h 707"/>
                <a:gd name="T36" fmla="*/ 5075 w 804"/>
                <a:gd name="T37" fmla="*/ 3651 h 707"/>
                <a:gd name="T38" fmla="*/ 5597 w 804"/>
                <a:gd name="T39" fmla="*/ 3595 h 707"/>
                <a:gd name="T40" fmla="*/ 5881 w 804"/>
                <a:gd name="T41" fmla="*/ 3552 h 707"/>
                <a:gd name="T42" fmla="*/ 6022 w 804"/>
                <a:gd name="T43" fmla="*/ 3358 h 707"/>
                <a:gd name="T44" fmla="*/ 6425 w 804"/>
                <a:gd name="T45" fmla="*/ 3264 h 707"/>
                <a:gd name="T46" fmla="*/ 6773 w 804"/>
                <a:gd name="T47" fmla="*/ 2920 h 707"/>
                <a:gd name="T48" fmla="*/ 6413 w 804"/>
                <a:gd name="T49" fmla="*/ 3042 h 707"/>
                <a:gd name="T50" fmla="*/ 5935 w 804"/>
                <a:gd name="T51" fmla="*/ 2448 h 707"/>
                <a:gd name="T52" fmla="*/ 6136 w 804"/>
                <a:gd name="T53" fmla="*/ 2057 h 707"/>
                <a:gd name="T54" fmla="*/ 6095 w 804"/>
                <a:gd name="T55" fmla="*/ 1785 h 707"/>
                <a:gd name="T56" fmla="*/ 5912 w 804"/>
                <a:gd name="T57" fmla="*/ 1926 h 707"/>
                <a:gd name="T58" fmla="*/ 5440 w 804"/>
                <a:gd name="T59" fmla="*/ 2269 h 707"/>
                <a:gd name="T60" fmla="*/ 4622 w 804"/>
                <a:gd name="T61" fmla="*/ 1953 h 707"/>
                <a:gd name="T62" fmla="*/ 3888 w 804"/>
                <a:gd name="T63" fmla="*/ 1623 h 707"/>
                <a:gd name="T64" fmla="*/ 3158 w 804"/>
                <a:gd name="T65" fmla="*/ 949 h 707"/>
                <a:gd name="T66" fmla="*/ 2747 w 804"/>
                <a:gd name="T67" fmla="*/ 464 h 707"/>
                <a:gd name="T68" fmla="*/ 2439 w 804"/>
                <a:gd name="T69" fmla="*/ 95 h 707"/>
                <a:gd name="T70" fmla="*/ 2268 w 804"/>
                <a:gd name="T71" fmla="*/ 149 h 707"/>
                <a:gd name="T72" fmla="*/ 2032 w 804"/>
                <a:gd name="T73" fmla="*/ 167 h 707"/>
                <a:gd name="T74" fmla="*/ 1971 w 804"/>
                <a:gd name="T75" fmla="*/ 511 h 707"/>
                <a:gd name="T76" fmla="*/ 2160 w 804"/>
                <a:gd name="T77" fmla="*/ 1026 h 707"/>
                <a:gd name="T78" fmla="*/ 2101 w 804"/>
                <a:gd name="T79" fmla="*/ 1642 h 707"/>
                <a:gd name="T80" fmla="*/ 2056 w 804"/>
                <a:gd name="T81" fmla="*/ 2271 h 707"/>
                <a:gd name="T82" fmla="*/ 1780 w 804"/>
                <a:gd name="T83" fmla="*/ 2506 h 707"/>
                <a:gd name="T84" fmla="*/ 1752 w 804"/>
                <a:gd name="T85" fmla="*/ 2811 h 707"/>
                <a:gd name="T86" fmla="*/ 1771 w 804"/>
                <a:gd name="T87" fmla="*/ 3230 h 707"/>
                <a:gd name="T88" fmla="*/ 1431 w 804"/>
                <a:gd name="T89" fmla="*/ 3327 h 707"/>
                <a:gd name="T90" fmla="*/ 1144 w 804"/>
                <a:gd name="T91" fmla="*/ 3311 h 707"/>
                <a:gd name="T92" fmla="*/ 896 w 804"/>
                <a:gd name="T93" fmla="*/ 3192 h 707"/>
                <a:gd name="T94" fmla="*/ 782 w 804"/>
                <a:gd name="T95" fmla="*/ 3202 h 707"/>
                <a:gd name="T96" fmla="*/ 837 w 804"/>
                <a:gd name="T97" fmla="*/ 3651 h 707"/>
                <a:gd name="T98" fmla="*/ 610 w 804"/>
                <a:gd name="T99" fmla="*/ 3963 h 707"/>
                <a:gd name="T100" fmla="*/ 493 w 804"/>
                <a:gd name="T101" fmla="*/ 3918 h 707"/>
                <a:gd name="T102" fmla="*/ 277 w 804"/>
                <a:gd name="T103" fmla="*/ 4104 h 707"/>
                <a:gd name="T104" fmla="*/ 62 w 804"/>
                <a:gd name="T105" fmla="*/ 4532 h 707"/>
                <a:gd name="T106" fmla="*/ 1 w 804"/>
                <a:gd name="T107" fmla="*/ 4769 h 707"/>
                <a:gd name="T108" fmla="*/ 224 w 804"/>
                <a:gd name="T109" fmla="*/ 4959 h 707"/>
                <a:gd name="T110" fmla="*/ 353 w 804"/>
                <a:gd name="T111" fmla="*/ 5312 h 707"/>
                <a:gd name="T112" fmla="*/ 318 w 804"/>
                <a:gd name="T113" fmla="*/ 5928 h 707"/>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0" t="0" r="r" b="b"/>
              <a:pathLst>
                <a:path w="804" h="707">
                  <a:moveTo>
                    <a:pt x="53" y="707"/>
                  </a:moveTo>
                  <a:lnTo>
                    <a:pt x="56" y="706"/>
                  </a:lnTo>
                  <a:lnTo>
                    <a:pt x="64" y="697"/>
                  </a:lnTo>
                  <a:lnTo>
                    <a:pt x="68" y="696"/>
                  </a:lnTo>
                  <a:lnTo>
                    <a:pt x="80" y="693"/>
                  </a:lnTo>
                  <a:lnTo>
                    <a:pt x="80" y="688"/>
                  </a:lnTo>
                  <a:lnTo>
                    <a:pt x="88" y="684"/>
                  </a:lnTo>
                  <a:lnTo>
                    <a:pt x="90" y="680"/>
                  </a:lnTo>
                  <a:lnTo>
                    <a:pt x="90" y="667"/>
                  </a:lnTo>
                  <a:lnTo>
                    <a:pt x="91" y="664"/>
                  </a:lnTo>
                  <a:lnTo>
                    <a:pt x="98" y="656"/>
                  </a:lnTo>
                  <a:lnTo>
                    <a:pt x="110" y="648"/>
                  </a:lnTo>
                  <a:lnTo>
                    <a:pt x="112" y="646"/>
                  </a:lnTo>
                  <a:lnTo>
                    <a:pt x="113" y="641"/>
                  </a:lnTo>
                  <a:lnTo>
                    <a:pt x="119" y="636"/>
                  </a:lnTo>
                  <a:lnTo>
                    <a:pt x="124" y="635"/>
                  </a:lnTo>
                  <a:lnTo>
                    <a:pt x="124" y="636"/>
                  </a:lnTo>
                  <a:lnTo>
                    <a:pt x="123" y="637"/>
                  </a:lnTo>
                  <a:lnTo>
                    <a:pt x="122" y="640"/>
                  </a:lnTo>
                  <a:lnTo>
                    <a:pt x="122" y="643"/>
                  </a:lnTo>
                  <a:lnTo>
                    <a:pt x="123" y="645"/>
                  </a:lnTo>
                  <a:lnTo>
                    <a:pt x="127" y="647"/>
                  </a:lnTo>
                  <a:lnTo>
                    <a:pt x="130" y="644"/>
                  </a:lnTo>
                  <a:lnTo>
                    <a:pt x="135" y="641"/>
                  </a:lnTo>
                  <a:lnTo>
                    <a:pt x="152" y="645"/>
                  </a:lnTo>
                  <a:lnTo>
                    <a:pt x="154" y="650"/>
                  </a:lnTo>
                  <a:lnTo>
                    <a:pt x="160" y="654"/>
                  </a:lnTo>
                  <a:lnTo>
                    <a:pt x="162" y="655"/>
                  </a:lnTo>
                  <a:lnTo>
                    <a:pt x="176" y="646"/>
                  </a:lnTo>
                  <a:lnTo>
                    <a:pt x="187" y="635"/>
                  </a:lnTo>
                  <a:lnTo>
                    <a:pt x="192" y="629"/>
                  </a:lnTo>
                  <a:lnTo>
                    <a:pt x="175" y="619"/>
                  </a:lnTo>
                  <a:lnTo>
                    <a:pt x="163" y="615"/>
                  </a:lnTo>
                  <a:lnTo>
                    <a:pt x="160" y="611"/>
                  </a:lnTo>
                  <a:lnTo>
                    <a:pt x="157" y="608"/>
                  </a:lnTo>
                  <a:lnTo>
                    <a:pt x="139" y="592"/>
                  </a:lnTo>
                  <a:lnTo>
                    <a:pt x="136" y="581"/>
                  </a:lnTo>
                  <a:lnTo>
                    <a:pt x="133" y="578"/>
                  </a:lnTo>
                  <a:lnTo>
                    <a:pt x="108" y="580"/>
                  </a:lnTo>
                  <a:lnTo>
                    <a:pt x="102" y="578"/>
                  </a:lnTo>
                  <a:lnTo>
                    <a:pt x="84" y="567"/>
                  </a:lnTo>
                  <a:lnTo>
                    <a:pt x="73" y="561"/>
                  </a:lnTo>
                  <a:lnTo>
                    <a:pt x="70" y="556"/>
                  </a:lnTo>
                  <a:lnTo>
                    <a:pt x="70" y="549"/>
                  </a:lnTo>
                  <a:lnTo>
                    <a:pt x="81" y="525"/>
                  </a:lnTo>
                  <a:lnTo>
                    <a:pt x="89" y="512"/>
                  </a:lnTo>
                  <a:lnTo>
                    <a:pt x="95" y="507"/>
                  </a:lnTo>
                  <a:lnTo>
                    <a:pt x="107" y="510"/>
                  </a:lnTo>
                  <a:lnTo>
                    <a:pt x="109" y="510"/>
                  </a:lnTo>
                  <a:lnTo>
                    <a:pt x="116" y="507"/>
                  </a:lnTo>
                  <a:lnTo>
                    <a:pt x="130" y="517"/>
                  </a:lnTo>
                  <a:lnTo>
                    <a:pt x="130" y="522"/>
                  </a:lnTo>
                  <a:lnTo>
                    <a:pt x="139" y="530"/>
                  </a:lnTo>
                  <a:lnTo>
                    <a:pt x="142" y="532"/>
                  </a:lnTo>
                  <a:lnTo>
                    <a:pt x="145" y="538"/>
                  </a:lnTo>
                  <a:lnTo>
                    <a:pt x="146" y="541"/>
                  </a:lnTo>
                  <a:lnTo>
                    <a:pt x="152" y="546"/>
                  </a:lnTo>
                  <a:lnTo>
                    <a:pt x="151" y="553"/>
                  </a:lnTo>
                  <a:lnTo>
                    <a:pt x="152" y="556"/>
                  </a:lnTo>
                  <a:lnTo>
                    <a:pt x="158" y="557"/>
                  </a:lnTo>
                  <a:lnTo>
                    <a:pt x="183" y="537"/>
                  </a:lnTo>
                  <a:lnTo>
                    <a:pt x="205" y="521"/>
                  </a:lnTo>
                  <a:lnTo>
                    <a:pt x="218" y="511"/>
                  </a:lnTo>
                  <a:lnTo>
                    <a:pt x="235" y="505"/>
                  </a:lnTo>
                  <a:lnTo>
                    <a:pt x="253" y="504"/>
                  </a:lnTo>
                  <a:lnTo>
                    <a:pt x="271" y="507"/>
                  </a:lnTo>
                  <a:lnTo>
                    <a:pt x="279" y="511"/>
                  </a:lnTo>
                  <a:lnTo>
                    <a:pt x="289" y="519"/>
                  </a:lnTo>
                  <a:lnTo>
                    <a:pt x="300" y="526"/>
                  </a:lnTo>
                  <a:lnTo>
                    <a:pt x="304" y="527"/>
                  </a:lnTo>
                  <a:lnTo>
                    <a:pt x="317" y="531"/>
                  </a:lnTo>
                  <a:lnTo>
                    <a:pt x="320" y="533"/>
                  </a:lnTo>
                  <a:lnTo>
                    <a:pt x="327" y="539"/>
                  </a:lnTo>
                  <a:lnTo>
                    <a:pt x="335" y="546"/>
                  </a:lnTo>
                  <a:lnTo>
                    <a:pt x="348" y="553"/>
                  </a:lnTo>
                  <a:lnTo>
                    <a:pt x="365" y="564"/>
                  </a:lnTo>
                  <a:lnTo>
                    <a:pt x="383" y="573"/>
                  </a:lnTo>
                  <a:lnTo>
                    <a:pt x="394" y="576"/>
                  </a:lnTo>
                  <a:lnTo>
                    <a:pt x="437" y="591"/>
                  </a:lnTo>
                  <a:lnTo>
                    <a:pt x="440" y="594"/>
                  </a:lnTo>
                  <a:lnTo>
                    <a:pt x="460" y="612"/>
                  </a:lnTo>
                  <a:lnTo>
                    <a:pt x="460" y="606"/>
                  </a:lnTo>
                  <a:lnTo>
                    <a:pt x="461" y="602"/>
                  </a:lnTo>
                  <a:lnTo>
                    <a:pt x="470" y="592"/>
                  </a:lnTo>
                  <a:lnTo>
                    <a:pt x="473" y="578"/>
                  </a:lnTo>
                  <a:lnTo>
                    <a:pt x="475" y="567"/>
                  </a:lnTo>
                  <a:lnTo>
                    <a:pt x="475" y="555"/>
                  </a:lnTo>
                  <a:lnTo>
                    <a:pt x="478" y="542"/>
                  </a:lnTo>
                  <a:lnTo>
                    <a:pt x="493" y="516"/>
                  </a:lnTo>
                  <a:lnTo>
                    <a:pt x="520" y="485"/>
                  </a:lnTo>
                  <a:lnTo>
                    <a:pt x="557" y="451"/>
                  </a:lnTo>
                  <a:lnTo>
                    <a:pt x="575" y="438"/>
                  </a:lnTo>
                  <a:lnTo>
                    <a:pt x="585" y="433"/>
                  </a:lnTo>
                  <a:lnTo>
                    <a:pt x="593" y="432"/>
                  </a:lnTo>
                  <a:lnTo>
                    <a:pt x="603" y="433"/>
                  </a:lnTo>
                  <a:lnTo>
                    <a:pt x="629" y="440"/>
                  </a:lnTo>
                  <a:lnTo>
                    <a:pt x="634" y="439"/>
                  </a:lnTo>
                  <a:lnTo>
                    <a:pt x="669" y="435"/>
                  </a:lnTo>
                  <a:lnTo>
                    <a:pt x="669" y="432"/>
                  </a:lnTo>
                  <a:lnTo>
                    <a:pt x="664" y="427"/>
                  </a:lnTo>
                  <a:lnTo>
                    <a:pt x="674" y="415"/>
                  </a:lnTo>
                  <a:lnTo>
                    <a:pt x="675" y="419"/>
                  </a:lnTo>
                  <a:lnTo>
                    <a:pt x="674" y="421"/>
                  </a:lnTo>
                  <a:lnTo>
                    <a:pt x="675" y="423"/>
                  </a:lnTo>
                  <a:lnTo>
                    <a:pt x="698" y="421"/>
                  </a:lnTo>
                  <a:lnTo>
                    <a:pt x="701" y="420"/>
                  </a:lnTo>
                  <a:lnTo>
                    <a:pt x="721" y="408"/>
                  </a:lnTo>
                  <a:lnTo>
                    <a:pt x="722" y="405"/>
                  </a:lnTo>
                  <a:lnTo>
                    <a:pt x="717" y="401"/>
                  </a:lnTo>
                  <a:lnTo>
                    <a:pt x="714" y="398"/>
                  </a:lnTo>
                  <a:lnTo>
                    <a:pt x="715" y="396"/>
                  </a:lnTo>
                  <a:lnTo>
                    <a:pt x="725" y="394"/>
                  </a:lnTo>
                  <a:lnTo>
                    <a:pt x="733" y="390"/>
                  </a:lnTo>
                  <a:lnTo>
                    <a:pt x="750" y="386"/>
                  </a:lnTo>
                  <a:lnTo>
                    <a:pt x="763" y="387"/>
                  </a:lnTo>
                  <a:lnTo>
                    <a:pt x="768" y="382"/>
                  </a:lnTo>
                  <a:lnTo>
                    <a:pt x="777" y="365"/>
                  </a:lnTo>
                  <a:lnTo>
                    <a:pt x="780" y="362"/>
                  </a:lnTo>
                  <a:lnTo>
                    <a:pt x="794" y="355"/>
                  </a:lnTo>
                  <a:lnTo>
                    <a:pt x="804" y="346"/>
                  </a:lnTo>
                  <a:lnTo>
                    <a:pt x="802" y="344"/>
                  </a:lnTo>
                  <a:lnTo>
                    <a:pt x="795" y="344"/>
                  </a:lnTo>
                  <a:lnTo>
                    <a:pt x="781" y="349"/>
                  </a:lnTo>
                  <a:lnTo>
                    <a:pt x="771" y="356"/>
                  </a:lnTo>
                  <a:lnTo>
                    <a:pt x="760" y="361"/>
                  </a:lnTo>
                  <a:lnTo>
                    <a:pt x="754" y="362"/>
                  </a:lnTo>
                  <a:lnTo>
                    <a:pt x="744" y="357"/>
                  </a:lnTo>
                  <a:lnTo>
                    <a:pt x="730" y="334"/>
                  </a:lnTo>
                  <a:lnTo>
                    <a:pt x="709" y="298"/>
                  </a:lnTo>
                  <a:lnTo>
                    <a:pt x="705" y="290"/>
                  </a:lnTo>
                  <a:lnTo>
                    <a:pt x="708" y="274"/>
                  </a:lnTo>
                  <a:lnTo>
                    <a:pt x="709" y="271"/>
                  </a:lnTo>
                  <a:lnTo>
                    <a:pt x="714" y="260"/>
                  </a:lnTo>
                  <a:lnTo>
                    <a:pt x="721" y="253"/>
                  </a:lnTo>
                  <a:lnTo>
                    <a:pt x="728" y="244"/>
                  </a:lnTo>
                  <a:lnTo>
                    <a:pt x="728" y="236"/>
                  </a:lnTo>
                  <a:lnTo>
                    <a:pt x="737" y="225"/>
                  </a:lnTo>
                  <a:lnTo>
                    <a:pt x="742" y="205"/>
                  </a:lnTo>
                  <a:lnTo>
                    <a:pt x="739" y="191"/>
                  </a:lnTo>
                  <a:lnTo>
                    <a:pt x="723" y="212"/>
                  </a:lnTo>
                  <a:lnTo>
                    <a:pt x="721" y="216"/>
                  </a:lnTo>
                  <a:lnTo>
                    <a:pt x="715" y="223"/>
                  </a:lnTo>
                  <a:lnTo>
                    <a:pt x="710" y="226"/>
                  </a:lnTo>
                  <a:lnTo>
                    <a:pt x="704" y="226"/>
                  </a:lnTo>
                  <a:lnTo>
                    <a:pt x="701" y="229"/>
                  </a:lnTo>
                  <a:lnTo>
                    <a:pt x="698" y="235"/>
                  </a:lnTo>
                  <a:lnTo>
                    <a:pt x="678" y="259"/>
                  </a:lnTo>
                  <a:lnTo>
                    <a:pt x="670" y="265"/>
                  </a:lnTo>
                  <a:lnTo>
                    <a:pt x="659" y="269"/>
                  </a:lnTo>
                  <a:lnTo>
                    <a:pt x="645" y="269"/>
                  </a:lnTo>
                  <a:lnTo>
                    <a:pt x="617" y="265"/>
                  </a:lnTo>
                  <a:lnTo>
                    <a:pt x="606" y="260"/>
                  </a:lnTo>
                  <a:lnTo>
                    <a:pt x="602" y="255"/>
                  </a:lnTo>
                  <a:lnTo>
                    <a:pt x="601" y="242"/>
                  </a:lnTo>
                  <a:lnTo>
                    <a:pt x="549" y="232"/>
                  </a:lnTo>
                  <a:lnTo>
                    <a:pt x="525" y="226"/>
                  </a:lnTo>
                  <a:lnTo>
                    <a:pt x="509" y="221"/>
                  </a:lnTo>
                  <a:lnTo>
                    <a:pt x="493" y="214"/>
                  </a:lnTo>
                  <a:lnTo>
                    <a:pt x="472" y="199"/>
                  </a:lnTo>
                  <a:lnTo>
                    <a:pt x="461" y="192"/>
                  </a:lnTo>
                  <a:lnTo>
                    <a:pt x="440" y="178"/>
                  </a:lnTo>
                  <a:lnTo>
                    <a:pt x="428" y="169"/>
                  </a:lnTo>
                  <a:lnTo>
                    <a:pt x="414" y="154"/>
                  </a:lnTo>
                  <a:lnTo>
                    <a:pt x="393" y="137"/>
                  </a:lnTo>
                  <a:lnTo>
                    <a:pt x="375" y="112"/>
                  </a:lnTo>
                  <a:lnTo>
                    <a:pt x="367" y="100"/>
                  </a:lnTo>
                  <a:lnTo>
                    <a:pt x="353" y="82"/>
                  </a:lnTo>
                  <a:lnTo>
                    <a:pt x="343" y="72"/>
                  </a:lnTo>
                  <a:lnTo>
                    <a:pt x="331" y="60"/>
                  </a:lnTo>
                  <a:lnTo>
                    <a:pt x="326" y="55"/>
                  </a:lnTo>
                  <a:lnTo>
                    <a:pt x="313" y="31"/>
                  </a:lnTo>
                  <a:lnTo>
                    <a:pt x="310" y="27"/>
                  </a:lnTo>
                  <a:lnTo>
                    <a:pt x="296" y="22"/>
                  </a:lnTo>
                  <a:lnTo>
                    <a:pt x="294" y="15"/>
                  </a:lnTo>
                  <a:lnTo>
                    <a:pt x="290" y="11"/>
                  </a:lnTo>
                  <a:lnTo>
                    <a:pt x="287" y="9"/>
                  </a:lnTo>
                  <a:lnTo>
                    <a:pt x="283" y="0"/>
                  </a:lnTo>
                  <a:lnTo>
                    <a:pt x="273" y="6"/>
                  </a:lnTo>
                  <a:lnTo>
                    <a:pt x="272" y="13"/>
                  </a:lnTo>
                  <a:lnTo>
                    <a:pt x="269" y="18"/>
                  </a:lnTo>
                  <a:lnTo>
                    <a:pt x="264" y="21"/>
                  </a:lnTo>
                  <a:lnTo>
                    <a:pt x="259" y="22"/>
                  </a:lnTo>
                  <a:lnTo>
                    <a:pt x="248" y="21"/>
                  </a:lnTo>
                  <a:lnTo>
                    <a:pt x="243" y="17"/>
                  </a:lnTo>
                  <a:lnTo>
                    <a:pt x="241" y="19"/>
                  </a:lnTo>
                  <a:lnTo>
                    <a:pt x="243" y="30"/>
                  </a:lnTo>
                  <a:lnTo>
                    <a:pt x="243" y="33"/>
                  </a:lnTo>
                  <a:lnTo>
                    <a:pt x="239" y="45"/>
                  </a:lnTo>
                  <a:lnTo>
                    <a:pt x="234" y="54"/>
                  </a:lnTo>
                  <a:lnTo>
                    <a:pt x="234" y="61"/>
                  </a:lnTo>
                  <a:lnTo>
                    <a:pt x="235" y="68"/>
                  </a:lnTo>
                  <a:lnTo>
                    <a:pt x="239" y="75"/>
                  </a:lnTo>
                  <a:lnTo>
                    <a:pt x="245" y="85"/>
                  </a:lnTo>
                  <a:lnTo>
                    <a:pt x="253" y="111"/>
                  </a:lnTo>
                  <a:lnTo>
                    <a:pt x="256" y="121"/>
                  </a:lnTo>
                  <a:lnTo>
                    <a:pt x="258" y="126"/>
                  </a:lnTo>
                  <a:lnTo>
                    <a:pt x="260" y="154"/>
                  </a:lnTo>
                  <a:lnTo>
                    <a:pt x="258" y="174"/>
                  </a:lnTo>
                  <a:lnTo>
                    <a:pt x="256" y="186"/>
                  </a:lnTo>
                  <a:lnTo>
                    <a:pt x="250" y="195"/>
                  </a:lnTo>
                  <a:lnTo>
                    <a:pt x="242" y="206"/>
                  </a:lnTo>
                  <a:lnTo>
                    <a:pt x="246" y="220"/>
                  </a:lnTo>
                  <a:lnTo>
                    <a:pt x="248" y="251"/>
                  </a:lnTo>
                  <a:lnTo>
                    <a:pt x="245" y="262"/>
                  </a:lnTo>
                  <a:lnTo>
                    <a:pt x="243" y="270"/>
                  </a:lnTo>
                  <a:lnTo>
                    <a:pt x="238" y="278"/>
                  </a:lnTo>
                  <a:lnTo>
                    <a:pt x="228" y="285"/>
                  </a:lnTo>
                  <a:lnTo>
                    <a:pt x="215" y="290"/>
                  </a:lnTo>
                  <a:lnTo>
                    <a:pt x="213" y="292"/>
                  </a:lnTo>
                  <a:lnTo>
                    <a:pt x="211" y="297"/>
                  </a:lnTo>
                  <a:lnTo>
                    <a:pt x="208" y="299"/>
                  </a:lnTo>
                  <a:lnTo>
                    <a:pt x="206" y="306"/>
                  </a:lnTo>
                  <a:lnTo>
                    <a:pt x="206" y="311"/>
                  </a:lnTo>
                  <a:lnTo>
                    <a:pt x="210" y="325"/>
                  </a:lnTo>
                  <a:lnTo>
                    <a:pt x="208" y="334"/>
                  </a:lnTo>
                  <a:lnTo>
                    <a:pt x="209" y="338"/>
                  </a:lnTo>
                  <a:lnTo>
                    <a:pt x="216" y="350"/>
                  </a:lnTo>
                  <a:lnTo>
                    <a:pt x="217" y="361"/>
                  </a:lnTo>
                  <a:lnTo>
                    <a:pt x="214" y="375"/>
                  </a:lnTo>
                  <a:lnTo>
                    <a:pt x="210" y="383"/>
                  </a:lnTo>
                  <a:lnTo>
                    <a:pt x="202" y="392"/>
                  </a:lnTo>
                  <a:lnTo>
                    <a:pt x="191" y="400"/>
                  </a:lnTo>
                  <a:lnTo>
                    <a:pt x="182" y="401"/>
                  </a:lnTo>
                  <a:lnTo>
                    <a:pt x="170" y="398"/>
                  </a:lnTo>
                  <a:lnTo>
                    <a:pt x="170" y="394"/>
                  </a:lnTo>
                  <a:lnTo>
                    <a:pt x="170" y="390"/>
                  </a:lnTo>
                  <a:lnTo>
                    <a:pt x="167" y="387"/>
                  </a:lnTo>
                  <a:lnTo>
                    <a:pt x="156" y="392"/>
                  </a:lnTo>
                  <a:lnTo>
                    <a:pt x="147" y="394"/>
                  </a:lnTo>
                  <a:lnTo>
                    <a:pt x="136" y="393"/>
                  </a:lnTo>
                  <a:lnTo>
                    <a:pt x="126" y="390"/>
                  </a:lnTo>
                  <a:lnTo>
                    <a:pt x="120" y="387"/>
                  </a:lnTo>
                  <a:lnTo>
                    <a:pt x="117" y="384"/>
                  </a:lnTo>
                  <a:lnTo>
                    <a:pt x="114" y="382"/>
                  </a:lnTo>
                  <a:lnTo>
                    <a:pt x="107" y="379"/>
                  </a:lnTo>
                  <a:lnTo>
                    <a:pt x="101" y="372"/>
                  </a:lnTo>
                  <a:lnTo>
                    <a:pt x="92" y="367"/>
                  </a:lnTo>
                  <a:lnTo>
                    <a:pt x="91" y="368"/>
                  </a:lnTo>
                  <a:lnTo>
                    <a:pt x="93" y="377"/>
                  </a:lnTo>
                  <a:lnTo>
                    <a:pt x="93" y="380"/>
                  </a:lnTo>
                  <a:lnTo>
                    <a:pt x="80" y="382"/>
                  </a:lnTo>
                  <a:lnTo>
                    <a:pt x="74" y="397"/>
                  </a:lnTo>
                  <a:lnTo>
                    <a:pt x="74" y="402"/>
                  </a:lnTo>
                  <a:lnTo>
                    <a:pt x="83" y="414"/>
                  </a:lnTo>
                  <a:lnTo>
                    <a:pt x="99" y="433"/>
                  </a:lnTo>
                  <a:lnTo>
                    <a:pt x="95" y="434"/>
                  </a:lnTo>
                  <a:lnTo>
                    <a:pt x="93" y="436"/>
                  </a:lnTo>
                  <a:lnTo>
                    <a:pt x="81" y="451"/>
                  </a:lnTo>
                  <a:lnTo>
                    <a:pt x="76" y="462"/>
                  </a:lnTo>
                  <a:lnTo>
                    <a:pt x="73" y="470"/>
                  </a:lnTo>
                  <a:lnTo>
                    <a:pt x="70" y="473"/>
                  </a:lnTo>
                  <a:lnTo>
                    <a:pt x="67" y="473"/>
                  </a:lnTo>
                  <a:lnTo>
                    <a:pt x="65" y="468"/>
                  </a:lnTo>
                  <a:lnTo>
                    <a:pt x="61" y="464"/>
                  </a:lnTo>
                  <a:lnTo>
                    <a:pt x="59" y="465"/>
                  </a:lnTo>
                  <a:lnTo>
                    <a:pt x="54" y="470"/>
                  </a:lnTo>
                  <a:lnTo>
                    <a:pt x="52" y="473"/>
                  </a:lnTo>
                  <a:lnTo>
                    <a:pt x="49" y="473"/>
                  </a:lnTo>
                  <a:lnTo>
                    <a:pt x="36" y="480"/>
                  </a:lnTo>
                  <a:lnTo>
                    <a:pt x="32" y="487"/>
                  </a:lnTo>
                  <a:lnTo>
                    <a:pt x="30" y="490"/>
                  </a:lnTo>
                  <a:lnTo>
                    <a:pt x="14" y="494"/>
                  </a:lnTo>
                  <a:lnTo>
                    <a:pt x="7" y="505"/>
                  </a:lnTo>
                  <a:lnTo>
                    <a:pt x="8" y="517"/>
                  </a:lnTo>
                  <a:lnTo>
                    <a:pt x="7" y="537"/>
                  </a:lnTo>
                  <a:lnTo>
                    <a:pt x="5" y="543"/>
                  </a:lnTo>
                  <a:lnTo>
                    <a:pt x="0" y="550"/>
                  </a:lnTo>
                  <a:lnTo>
                    <a:pt x="0" y="552"/>
                  </a:lnTo>
                  <a:lnTo>
                    <a:pt x="0" y="564"/>
                  </a:lnTo>
                  <a:lnTo>
                    <a:pt x="1" y="566"/>
                  </a:lnTo>
                  <a:lnTo>
                    <a:pt x="11" y="573"/>
                  </a:lnTo>
                  <a:lnTo>
                    <a:pt x="13" y="574"/>
                  </a:lnTo>
                  <a:lnTo>
                    <a:pt x="15" y="580"/>
                  </a:lnTo>
                  <a:lnTo>
                    <a:pt x="18" y="583"/>
                  </a:lnTo>
                  <a:lnTo>
                    <a:pt x="26" y="588"/>
                  </a:lnTo>
                  <a:lnTo>
                    <a:pt x="35" y="593"/>
                  </a:lnTo>
                  <a:lnTo>
                    <a:pt x="42" y="604"/>
                  </a:lnTo>
                  <a:lnTo>
                    <a:pt x="44" y="615"/>
                  </a:lnTo>
                  <a:lnTo>
                    <a:pt x="44" y="622"/>
                  </a:lnTo>
                  <a:lnTo>
                    <a:pt x="42" y="630"/>
                  </a:lnTo>
                  <a:lnTo>
                    <a:pt x="36" y="645"/>
                  </a:lnTo>
                  <a:lnTo>
                    <a:pt x="25" y="673"/>
                  </a:lnTo>
                  <a:lnTo>
                    <a:pt x="25" y="677"/>
                  </a:lnTo>
                  <a:lnTo>
                    <a:pt x="34" y="699"/>
                  </a:lnTo>
                  <a:lnTo>
                    <a:pt x="38" y="703"/>
                  </a:lnTo>
                  <a:lnTo>
                    <a:pt x="45" y="705"/>
                  </a:lnTo>
                  <a:lnTo>
                    <a:pt x="49" y="705"/>
                  </a:lnTo>
                  <a:lnTo>
                    <a:pt x="53" y="707"/>
                  </a:lnTo>
                  <a:close/>
                </a:path>
              </a:pathLst>
            </a:custGeom>
            <a:solidFill>
              <a:srgbClr val="004098"/>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22" name="Freeform 6">
              <a:extLst>
                <a:ext uri="{FF2B5EF4-FFF2-40B4-BE49-F238E27FC236}">
                  <a16:creationId xmlns:a16="http://schemas.microsoft.com/office/drawing/2014/main" id="{00000000-0008-0000-0900-0000127E1200}"/>
                </a:ext>
              </a:extLst>
            </xdr:cNvPr>
            <xdr:cNvSpPr>
              <a:spLocks noChangeAspect="1"/>
            </xdr:cNvSpPr>
          </xdr:nvSpPr>
          <xdr:spPr bwMode="auto">
            <a:xfrm rot="238154">
              <a:off x="2110" y="1749"/>
              <a:ext cx="321" cy="275"/>
            </a:xfrm>
            <a:custGeom>
              <a:avLst/>
              <a:gdLst>
                <a:gd name="T0" fmla="*/ 1218 w 259"/>
                <a:gd name="T1" fmla="*/ 1696 h 223"/>
                <a:gd name="T2" fmla="*/ 1283 w 259"/>
                <a:gd name="T3" fmla="*/ 1528 h 223"/>
                <a:gd name="T4" fmla="*/ 1185 w 259"/>
                <a:gd name="T5" fmla="*/ 1558 h 223"/>
                <a:gd name="T6" fmla="*/ 1182 w 259"/>
                <a:gd name="T7" fmla="*/ 1439 h 223"/>
                <a:gd name="T8" fmla="*/ 1137 w 259"/>
                <a:gd name="T9" fmla="*/ 1391 h 223"/>
                <a:gd name="T10" fmla="*/ 1047 w 259"/>
                <a:gd name="T11" fmla="*/ 1507 h 223"/>
                <a:gd name="T12" fmla="*/ 938 w 259"/>
                <a:gd name="T13" fmla="*/ 1538 h 223"/>
                <a:gd name="T14" fmla="*/ 835 w 259"/>
                <a:gd name="T15" fmla="*/ 1506 h 223"/>
                <a:gd name="T16" fmla="*/ 746 w 259"/>
                <a:gd name="T17" fmla="*/ 1430 h 223"/>
                <a:gd name="T18" fmla="*/ 597 w 259"/>
                <a:gd name="T19" fmla="*/ 1469 h 223"/>
                <a:gd name="T20" fmla="*/ 345 w 259"/>
                <a:gd name="T21" fmla="*/ 1430 h 223"/>
                <a:gd name="T22" fmla="*/ 257 w 259"/>
                <a:gd name="T23" fmla="*/ 1506 h 223"/>
                <a:gd name="T24" fmla="*/ 135 w 259"/>
                <a:gd name="T25" fmla="*/ 1507 h 223"/>
                <a:gd name="T26" fmla="*/ 88 w 259"/>
                <a:gd name="T27" fmla="*/ 1397 h 223"/>
                <a:gd name="T28" fmla="*/ 0 w 259"/>
                <a:gd name="T29" fmla="*/ 1326 h 223"/>
                <a:gd name="T30" fmla="*/ 109 w 259"/>
                <a:gd name="T31" fmla="*/ 1247 h 223"/>
                <a:gd name="T32" fmla="*/ 253 w 259"/>
                <a:gd name="T33" fmla="*/ 1121 h 223"/>
                <a:gd name="T34" fmla="*/ 377 w 259"/>
                <a:gd name="T35" fmla="*/ 1102 h 223"/>
                <a:gd name="T36" fmla="*/ 493 w 259"/>
                <a:gd name="T37" fmla="*/ 915 h 223"/>
                <a:gd name="T38" fmla="*/ 464 w 259"/>
                <a:gd name="T39" fmla="*/ 598 h 223"/>
                <a:gd name="T40" fmla="*/ 540 w 259"/>
                <a:gd name="T41" fmla="*/ 546 h 223"/>
                <a:gd name="T42" fmla="*/ 693 w 259"/>
                <a:gd name="T43" fmla="*/ 464 h 223"/>
                <a:gd name="T44" fmla="*/ 814 w 259"/>
                <a:gd name="T45" fmla="*/ 453 h 223"/>
                <a:gd name="T46" fmla="*/ 956 w 259"/>
                <a:gd name="T47" fmla="*/ 555 h 223"/>
                <a:gd name="T48" fmla="*/ 994 w 259"/>
                <a:gd name="T49" fmla="*/ 879 h 223"/>
                <a:gd name="T50" fmla="*/ 1155 w 259"/>
                <a:gd name="T51" fmla="*/ 879 h 223"/>
                <a:gd name="T52" fmla="*/ 1201 w 259"/>
                <a:gd name="T53" fmla="*/ 713 h 223"/>
                <a:gd name="T54" fmla="*/ 1403 w 259"/>
                <a:gd name="T55" fmla="*/ 842 h 223"/>
                <a:gd name="T56" fmla="*/ 1527 w 259"/>
                <a:gd name="T57" fmla="*/ 843 h 223"/>
                <a:gd name="T58" fmla="*/ 1647 w 259"/>
                <a:gd name="T59" fmla="*/ 485 h 223"/>
                <a:gd name="T60" fmla="*/ 1439 w 259"/>
                <a:gd name="T61" fmla="*/ 464 h 223"/>
                <a:gd name="T62" fmla="*/ 1283 w 259"/>
                <a:gd name="T63" fmla="*/ 546 h 223"/>
                <a:gd name="T64" fmla="*/ 1073 w 259"/>
                <a:gd name="T65" fmla="*/ 594 h 223"/>
                <a:gd name="T66" fmla="*/ 1137 w 259"/>
                <a:gd name="T67" fmla="*/ 200 h 223"/>
                <a:gd name="T68" fmla="*/ 1218 w 259"/>
                <a:gd name="T69" fmla="*/ 0 h 223"/>
                <a:gd name="T70" fmla="*/ 1465 w 259"/>
                <a:gd name="T71" fmla="*/ 96 h 223"/>
                <a:gd name="T72" fmla="*/ 1648 w 259"/>
                <a:gd name="T73" fmla="*/ 228 h 223"/>
                <a:gd name="T74" fmla="*/ 1893 w 259"/>
                <a:gd name="T75" fmla="*/ 111 h 223"/>
                <a:gd name="T76" fmla="*/ 1821 w 259"/>
                <a:gd name="T77" fmla="*/ 894 h 223"/>
                <a:gd name="T78" fmla="*/ 2009 w 259"/>
                <a:gd name="T79" fmla="*/ 1322 h 223"/>
                <a:gd name="T80" fmla="*/ 2214 w 259"/>
                <a:gd name="T81" fmla="*/ 1507 h 223"/>
                <a:gd name="T82" fmla="*/ 2117 w 259"/>
                <a:gd name="T83" fmla="*/ 1558 h 223"/>
                <a:gd name="T84" fmla="*/ 2086 w 259"/>
                <a:gd name="T85" fmla="*/ 1615 h 223"/>
                <a:gd name="T86" fmla="*/ 2014 w 259"/>
                <a:gd name="T87" fmla="*/ 1675 h 223"/>
                <a:gd name="T88" fmla="*/ 1904 w 259"/>
                <a:gd name="T89" fmla="*/ 1635 h 223"/>
                <a:gd name="T90" fmla="*/ 1774 w 259"/>
                <a:gd name="T91" fmla="*/ 1667 h 223"/>
                <a:gd name="T92" fmla="*/ 1590 w 259"/>
                <a:gd name="T93" fmla="*/ 1747 h 223"/>
                <a:gd name="T94" fmla="*/ 1420 w 259"/>
                <a:gd name="T95" fmla="*/ 1812 h 223"/>
                <a:gd name="T96" fmla="*/ 1232 w 259"/>
                <a:gd name="T97" fmla="*/ 1775 h 223"/>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259" h="223">
                  <a:moveTo>
                    <a:pt x="144" y="218"/>
                  </a:moveTo>
                  <a:lnTo>
                    <a:pt x="145" y="217"/>
                  </a:lnTo>
                  <a:lnTo>
                    <a:pt x="143" y="208"/>
                  </a:lnTo>
                  <a:lnTo>
                    <a:pt x="143" y="202"/>
                  </a:lnTo>
                  <a:lnTo>
                    <a:pt x="150" y="198"/>
                  </a:lnTo>
                  <a:lnTo>
                    <a:pt x="150" y="188"/>
                  </a:lnTo>
                  <a:lnTo>
                    <a:pt x="149" y="186"/>
                  </a:lnTo>
                  <a:lnTo>
                    <a:pt x="144" y="191"/>
                  </a:lnTo>
                  <a:lnTo>
                    <a:pt x="139" y="191"/>
                  </a:lnTo>
                  <a:lnTo>
                    <a:pt x="133" y="184"/>
                  </a:lnTo>
                  <a:lnTo>
                    <a:pt x="135" y="180"/>
                  </a:lnTo>
                  <a:lnTo>
                    <a:pt x="138" y="177"/>
                  </a:lnTo>
                  <a:lnTo>
                    <a:pt x="136" y="170"/>
                  </a:lnTo>
                  <a:lnTo>
                    <a:pt x="135" y="168"/>
                  </a:lnTo>
                  <a:lnTo>
                    <a:pt x="133" y="171"/>
                  </a:lnTo>
                  <a:lnTo>
                    <a:pt x="132" y="176"/>
                  </a:lnTo>
                  <a:lnTo>
                    <a:pt x="127" y="185"/>
                  </a:lnTo>
                  <a:lnTo>
                    <a:pt x="123" y="186"/>
                  </a:lnTo>
                  <a:lnTo>
                    <a:pt x="119" y="190"/>
                  </a:lnTo>
                  <a:lnTo>
                    <a:pt x="114" y="189"/>
                  </a:lnTo>
                  <a:lnTo>
                    <a:pt x="110" y="189"/>
                  </a:lnTo>
                  <a:lnTo>
                    <a:pt x="107" y="192"/>
                  </a:lnTo>
                  <a:lnTo>
                    <a:pt x="101" y="189"/>
                  </a:lnTo>
                  <a:lnTo>
                    <a:pt x="98" y="185"/>
                  </a:lnTo>
                  <a:lnTo>
                    <a:pt x="96" y="180"/>
                  </a:lnTo>
                  <a:lnTo>
                    <a:pt x="92" y="176"/>
                  </a:lnTo>
                  <a:lnTo>
                    <a:pt x="87" y="176"/>
                  </a:lnTo>
                  <a:lnTo>
                    <a:pt x="83" y="179"/>
                  </a:lnTo>
                  <a:lnTo>
                    <a:pt x="81" y="182"/>
                  </a:lnTo>
                  <a:lnTo>
                    <a:pt x="69" y="181"/>
                  </a:lnTo>
                  <a:lnTo>
                    <a:pt x="64" y="185"/>
                  </a:lnTo>
                  <a:lnTo>
                    <a:pt x="50" y="182"/>
                  </a:lnTo>
                  <a:lnTo>
                    <a:pt x="40" y="176"/>
                  </a:lnTo>
                  <a:lnTo>
                    <a:pt x="36" y="176"/>
                  </a:lnTo>
                  <a:lnTo>
                    <a:pt x="34" y="183"/>
                  </a:lnTo>
                  <a:lnTo>
                    <a:pt x="30" y="185"/>
                  </a:lnTo>
                  <a:lnTo>
                    <a:pt x="26" y="185"/>
                  </a:lnTo>
                  <a:lnTo>
                    <a:pt x="20" y="184"/>
                  </a:lnTo>
                  <a:lnTo>
                    <a:pt x="15" y="186"/>
                  </a:lnTo>
                  <a:lnTo>
                    <a:pt x="15" y="185"/>
                  </a:lnTo>
                  <a:lnTo>
                    <a:pt x="13" y="175"/>
                  </a:lnTo>
                  <a:lnTo>
                    <a:pt x="10" y="172"/>
                  </a:lnTo>
                  <a:lnTo>
                    <a:pt x="5" y="170"/>
                  </a:lnTo>
                  <a:lnTo>
                    <a:pt x="0" y="167"/>
                  </a:lnTo>
                  <a:lnTo>
                    <a:pt x="0" y="163"/>
                  </a:lnTo>
                  <a:lnTo>
                    <a:pt x="1" y="160"/>
                  </a:lnTo>
                  <a:lnTo>
                    <a:pt x="8" y="155"/>
                  </a:lnTo>
                  <a:lnTo>
                    <a:pt x="12" y="153"/>
                  </a:lnTo>
                  <a:lnTo>
                    <a:pt x="16" y="148"/>
                  </a:lnTo>
                  <a:lnTo>
                    <a:pt x="21" y="142"/>
                  </a:lnTo>
                  <a:lnTo>
                    <a:pt x="29" y="138"/>
                  </a:lnTo>
                  <a:lnTo>
                    <a:pt x="36" y="138"/>
                  </a:lnTo>
                  <a:lnTo>
                    <a:pt x="41" y="138"/>
                  </a:lnTo>
                  <a:lnTo>
                    <a:pt x="44" y="136"/>
                  </a:lnTo>
                  <a:lnTo>
                    <a:pt x="49" y="132"/>
                  </a:lnTo>
                  <a:lnTo>
                    <a:pt x="54" y="125"/>
                  </a:lnTo>
                  <a:lnTo>
                    <a:pt x="58" y="113"/>
                  </a:lnTo>
                  <a:lnTo>
                    <a:pt x="63" y="88"/>
                  </a:lnTo>
                  <a:lnTo>
                    <a:pt x="61" y="81"/>
                  </a:lnTo>
                  <a:lnTo>
                    <a:pt x="54" y="74"/>
                  </a:lnTo>
                  <a:lnTo>
                    <a:pt x="54" y="72"/>
                  </a:lnTo>
                  <a:lnTo>
                    <a:pt x="62" y="70"/>
                  </a:lnTo>
                  <a:lnTo>
                    <a:pt x="63" y="67"/>
                  </a:lnTo>
                  <a:lnTo>
                    <a:pt x="66" y="51"/>
                  </a:lnTo>
                  <a:lnTo>
                    <a:pt x="70" y="53"/>
                  </a:lnTo>
                  <a:lnTo>
                    <a:pt x="81" y="57"/>
                  </a:lnTo>
                  <a:lnTo>
                    <a:pt x="87" y="61"/>
                  </a:lnTo>
                  <a:lnTo>
                    <a:pt x="90" y="60"/>
                  </a:lnTo>
                  <a:lnTo>
                    <a:pt x="95" y="56"/>
                  </a:lnTo>
                  <a:lnTo>
                    <a:pt x="97" y="56"/>
                  </a:lnTo>
                  <a:lnTo>
                    <a:pt x="109" y="64"/>
                  </a:lnTo>
                  <a:lnTo>
                    <a:pt x="112" y="68"/>
                  </a:lnTo>
                  <a:lnTo>
                    <a:pt x="112" y="80"/>
                  </a:lnTo>
                  <a:lnTo>
                    <a:pt x="113" y="90"/>
                  </a:lnTo>
                  <a:lnTo>
                    <a:pt x="116" y="109"/>
                  </a:lnTo>
                  <a:lnTo>
                    <a:pt x="121" y="117"/>
                  </a:lnTo>
                  <a:lnTo>
                    <a:pt x="128" y="117"/>
                  </a:lnTo>
                  <a:lnTo>
                    <a:pt x="135" y="109"/>
                  </a:lnTo>
                  <a:lnTo>
                    <a:pt x="137" y="98"/>
                  </a:lnTo>
                  <a:lnTo>
                    <a:pt x="137" y="90"/>
                  </a:lnTo>
                  <a:lnTo>
                    <a:pt x="140" y="88"/>
                  </a:lnTo>
                  <a:lnTo>
                    <a:pt x="154" y="97"/>
                  </a:lnTo>
                  <a:lnTo>
                    <a:pt x="158" y="100"/>
                  </a:lnTo>
                  <a:lnTo>
                    <a:pt x="164" y="103"/>
                  </a:lnTo>
                  <a:lnTo>
                    <a:pt x="169" y="107"/>
                  </a:lnTo>
                  <a:lnTo>
                    <a:pt x="173" y="108"/>
                  </a:lnTo>
                  <a:lnTo>
                    <a:pt x="178" y="104"/>
                  </a:lnTo>
                  <a:lnTo>
                    <a:pt x="186" y="89"/>
                  </a:lnTo>
                  <a:lnTo>
                    <a:pt x="190" y="62"/>
                  </a:lnTo>
                  <a:lnTo>
                    <a:pt x="192" y="60"/>
                  </a:lnTo>
                  <a:lnTo>
                    <a:pt x="178" y="44"/>
                  </a:lnTo>
                  <a:lnTo>
                    <a:pt x="175" y="54"/>
                  </a:lnTo>
                  <a:lnTo>
                    <a:pt x="168" y="57"/>
                  </a:lnTo>
                  <a:lnTo>
                    <a:pt x="163" y="62"/>
                  </a:lnTo>
                  <a:lnTo>
                    <a:pt x="160" y="67"/>
                  </a:lnTo>
                  <a:lnTo>
                    <a:pt x="150" y="67"/>
                  </a:lnTo>
                  <a:lnTo>
                    <a:pt x="148" y="72"/>
                  </a:lnTo>
                  <a:lnTo>
                    <a:pt x="137" y="74"/>
                  </a:lnTo>
                  <a:lnTo>
                    <a:pt x="126" y="73"/>
                  </a:lnTo>
                  <a:lnTo>
                    <a:pt x="124" y="65"/>
                  </a:lnTo>
                  <a:lnTo>
                    <a:pt x="126" y="57"/>
                  </a:lnTo>
                  <a:lnTo>
                    <a:pt x="133" y="24"/>
                  </a:lnTo>
                  <a:lnTo>
                    <a:pt x="140" y="12"/>
                  </a:lnTo>
                  <a:lnTo>
                    <a:pt x="142" y="7"/>
                  </a:lnTo>
                  <a:lnTo>
                    <a:pt x="143" y="0"/>
                  </a:lnTo>
                  <a:lnTo>
                    <a:pt x="154" y="8"/>
                  </a:lnTo>
                  <a:lnTo>
                    <a:pt x="161" y="10"/>
                  </a:lnTo>
                  <a:lnTo>
                    <a:pt x="171" y="12"/>
                  </a:lnTo>
                  <a:lnTo>
                    <a:pt x="175" y="17"/>
                  </a:lnTo>
                  <a:lnTo>
                    <a:pt x="186" y="24"/>
                  </a:lnTo>
                  <a:lnTo>
                    <a:pt x="193" y="28"/>
                  </a:lnTo>
                  <a:lnTo>
                    <a:pt x="200" y="29"/>
                  </a:lnTo>
                  <a:lnTo>
                    <a:pt x="208" y="25"/>
                  </a:lnTo>
                  <a:lnTo>
                    <a:pt x="221" y="14"/>
                  </a:lnTo>
                  <a:lnTo>
                    <a:pt x="213" y="51"/>
                  </a:lnTo>
                  <a:lnTo>
                    <a:pt x="212" y="76"/>
                  </a:lnTo>
                  <a:lnTo>
                    <a:pt x="213" y="110"/>
                  </a:lnTo>
                  <a:lnTo>
                    <a:pt x="219" y="143"/>
                  </a:lnTo>
                  <a:lnTo>
                    <a:pt x="229" y="161"/>
                  </a:lnTo>
                  <a:lnTo>
                    <a:pt x="235" y="162"/>
                  </a:lnTo>
                  <a:lnTo>
                    <a:pt x="237" y="159"/>
                  </a:lnTo>
                  <a:lnTo>
                    <a:pt x="240" y="161"/>
                  </a:lnTo>
                  <a:lnTo>
                    <a:pt x="259" y="186"/>
                  </a:lnTo>
                  <a:lnTo>
                    <a:pt x="256" y="186"/>
                  </a:lnTo>
                  <a:lnTo>
                    <a:pt x="252" y="188"/>
                  </a:lnTo>
                  <a:lnTo>
                    <a:pt x="248" y="191"/>
                  </a:lnTo>
                  <a:lnTo>
                    <a:pt x="247" y="194"/>
                  </a:lnTo>
                  <a:lnTo>
                    <a:pt x="246" y="197"/>
                  </a:lnTo>
                  <a:lnTo>
                    <a:pt x="244" y="199"/>
                  </a:lnTo>
                  <a:lnTo>
                    <a:pt x="241" y="200"/>
                  </a:lnTo>
                  <a:lnTo>
                    <a:pt x="239" y="206"/>
                  </a:lnTo>
                  <a:lnTo>
                    <a:pt x="236" y="206"/>
                  </a:lnTo>
                  <a:lnTo>
                    <a:pt x="232" y="203"/>
                  </a:lnTo>
                  <a:lnTo>
                    <a:pt x="228" y="200"/>
                  </a:lnTo>
                  <a:lnTo>
                    <a:pt x="223" y="201"/>
                  </a:lnTo>
                  <a:lnTo>
                    <a:pt x="215" y="208"/>
                  </a:lnTo>
                  <a:lnTo>
                    <a:pt x="210" y="207"/>
                  </a:lnTo>
                  <a:lnTo>
                    <a:pt x="207" y="204"/>
                  </a:lnTo>
                  <a:lnTo>
                    <a:pt x="197" y="211"/>
                  </a:lnTo>
                  <a:lnTo>
                    <a:pt x="194" y="211"/>
                  </a:lnTo>
                  <a:lnTo>
                    <a:pt x="186" y="215"/>
                  </a:lnTo>
                  <a:lnTo>
                    <a:pt x="184" y="219"/>
                  </a:lnTo>
                  <a:lnTo>
                    <a:pt x="179" y="223"/>
                  </a:lnTo>
                  <a:lnTo>
                    <a:pt x="166" y="223"/>
                  </a:lnTo>
                  <a:lnTo>
                    <a:pt x="155" y="216"/>
                  </a:lnTo>
                  <a:lnTo>
                    <a:pt x="151" y="215"/>
                  </a:lnTo>
                  <a:lnTo>
                    <a:pt x="144" y="218"/>
                  </a:lnTo>
                  <a:close/>
                </a:path>
              </a:pathLst>
            </a:custGeom>
            <a:solidFill>
              <a:srgbClr val="1DB1E1"/>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23" name="Freeform 7">
              <a:extLst>
                <a:ext uri="{FF2B5EF4-FFF2-40B4-BE49-F238E27FC236}">
                  <a16:creationId xmlns:a16="http://schemas.microsoft.com/office/drawing/2014/main" id="{00000000-0008-0000-0900-0000137E1200}"/>
                </a:ext>
              </a:extLst>
            </xdr:cNvPr>
            <xdr:cNvSpPr>
              <a:spLocks noChangeAspect="1"/>
            </xdr:cNvSpPr>
          </xdr:nvSpPr>
          <xdr:spPr bwMode="auto">
            <a:xfrm rot="238154">
              <a:off x="2232" y="1985"/>
              <a:ext cx="248" cy="354"/>
            </a:xfrm>
            <a:custGeom>
              <a:avLst/>
              <a:gdLst>
                <a:gd name="T0" fmla="*/ 1102 w 200"/>
                <a:gd name="T1" fmla="*/ 2122 h 286"/>
                <a:gd name="T2" fmla="*/ 1001 w 200"/>
                <a:gd name="T3" fmla="*/ 2209 h 286"/>
                <a:gd name="T4" fmla="*/ 944 w 200"/>
                <a:gd name="T5" fmla="*/ 2409 h 286"/>
                <a:gd name="T6" fmla="*/ 866 w 200"/>
                <a:gd name="T7" fmla="*/ 2346 h 286"/>
                <a:gd name="T8" fmla="*/ 609 w 200"/>
                <a:gd name="T9" fmla="*/ 2402 h 286"/>
                <a:gd name="T10" fmla="*/ 564 w 200"/>
                <a:gd name="T11" fmla="*/ 2313 h 286"/>
                <a:gd name="T12" fmla="*/ 653 w 200"/>
                <a:gd name="T13" fmla="*/ 2270 h 286"/>
                <a:gd name="T14" fmla="*/ 511 w 200"/>
                <a:gd name="T15" fmla="*/ 2240 h 286"/>
                <a:gd name="T16" fmla="*/ 319 w 200"/>
                <a:gd name="T17" fmla="*/ 2133 h 286"/>
                <a:gd name="T18" fmla="*/ 146 w 200"/>
                <a:gd name="T19" fmla="*/ 2160 h 286"/>
                <a:gd name="T20" fmla="*/ 40 w 200"/>
                <a:gd name="T21" fmla="*/ 2016 h 286"/>
                <a:gd name="T22" fmla="*/ 110 w 200"/>
                <a:gd name="T23" fmla="*/ 1810 h 286"/>
                <a:gd name="T24" fmla="*/ 32 w 200"/>
                <a:gd name="T25" fmla="*/ 1723 h 286"/>
                <a:gd name="T26" fmla="*/ 50 w 200"/>
                <a:gd name="T27" fmla="*/ 1577 h 286"/>
                <a:gd name="T28" fmla="*/ 50 w 200"/>
                <a:gd name="T29" fmla="*/ 1493 h 286"/>
                <a:gd name="T30" fmla="*/ 1 w 200"/>
                <a:gd name="T31" fmla="*/ 1371 h 286"/>
                <a:gd name="T32" fmla="*/ 109 w 200"/>
                <a:gd name="T33" fmla="*/ 1206 h 286"/>
                <a:gd name="T34" fmla="*/ 185 w 200"/>
                <a:gd name="T35" fmla="*/ 979 h 286"/>
                <a:gd name="T36" fmla="*/ 210 w 200"/>
                <a:gd name="T37" fmla="*/ 843 h 286"/>
                <a:gd name="T38" fmla="*/ 149 w 200"/>
                <a:gd name="T39" fmla="*/ 736 h 286"/>
                <a:gd name="T40" fmla="*/ 224 w 200"/>
                <a:gd name="T41" fmla="*/ 681 h 286"/>
                <a:gd name="T42" fmla="*/ 229 w 200"/>
                <a:gd name="T43" fmla="*/ 488 h 286"/>
                <a:gd name="T44" fmla="*/ 260 w 200"/>
                <a:gd name="T45" fmla="*/ 277 h 286"/>
                <a:gd name="T46" fmla="*/ 455 w 200"/>
                <a:gd name="T47" fmla="*/ 317 h 286"/>
                <a:gd name="T48" fmla="*/ 634 w 200"/>
                <a:gd name="T49" fmla="*/ 246 h 286"/>
                <a:gd name="T50" fmla="*/ 810 w 200"/>
                <a:gd name="T51" fmla="*/ 149 h 286"/>
                <a:gd name="T52" fmla="*/ 944 w 200"/>
                <a:gd name="T53" fmla="*/ 135 h 286"/>
                <a:gd name="T54" fmla="*/ 1064 w 200"/>
                <a:gd name="T55" fmla="*/ 168 h 286"/>
                <a:gd name="T56" fmla="*/ 1122 w 200"/>
                <a:gd name="T57" fmla="*/ 110 h 286"/>
                <a:gd name="T58" fmla="*/ 1161 w 200"/>
                <a:gd name="T59" fmla="*/ 40 h 286"/>
                <a:gd name="T60" fmla="*/ 1255 w 200"/>
                <a:gd name="T61" fmla="*/ 0 h 286"/>
                <a:gd name="T62" fmla="*/ 1441 w 200"/>
                <a:gd name="T63" fmla="*/ 353 h 286"/>
                <a:gd name="T64" fmla="*/ 1427 w 200"/>
                <a:gd name="T65" fmla="*/ 464 h 286"/>
                <a:gd name="T66" fmla="*/ 1452 w 200"/>
                <a:gd name="T67" fmla="*/ 546 h 286"/>
                <a:gd name="T68" fmla="*/ 1564 w 200"/>
                <a:gd name="T69" fmla="*/ 748 h 286"/>
                <a:gd name="T70" fmla="*/ 1610 w 200"/>
                <a:gd name="T71" fmla="*/ 843 h 286"/>
                <a:gd name="T72" fmla="*/ 1684 w 200"/>
                <a:gd name="T73" fmla="*/ 1181 h 286"/>
                <a:gd name="T74" fmla="*/ 1653 w 200"/>
                <a:gd name="T75" fmla="*/ 1313 h 286"/>
                <a:gd name="T76" fmla="*/ 1676 w 200"/>
                <a:gd name="T77" fmla="*/ 1396 h 286"/>
                <a:gd name="T78" fmla="*/ 1574 w 200"/>
                <a:gd name="T79" fmla="*/ 1482 h 286"/>
                <a:gd name="T80" fmla="*/ 1636 w 200"/>
                <a:gd name="T81" fmla="*/ 1572 h 286"/>
                <a:gd name="T82" fmla="*/ 1539 w 200"/>
                <a:gd name="T83" fmla="*/ 1645 h 286"/>
                <a:gd name="T84" fmla="*/ 1544 w 200"/>
                <a:gd name="T85" fmla="*/ 1739 h 286"/>
                <a:gd name="T86" fmla="*/ 1499 w 200"/>
                <a:gd name="T87" fmla="*/ 1810 h 286"/>
                <a:gd name="T88" fmla="*/ 1518 w 200"/>
                <a:gd name="T89" fmla="*/ 1884 h 286"/>
                <a:gd name="T90" fmla="*/ 1441 w 200"/>
                <a:gd name="T91" fmla="*/ 1987 h 286"/>
                <a:gd name="T92" fmla="*/ 1241 w 200"/>
                <a:gd name="T93" fmla="*/ 2172 h 28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0" t="0" r="r" b="b"/>
              <a:pathLst>
                <a:path w="200" h="286">
                  <a:moveTo>
                    <a:pt x="144" y="257"/>
                  </a:moveTo>
                  <a:lnTo>
                    <a:pt x="139" y="257"/>
                  </a:lnTo>
                  <a:lnTo>
                    <a:pt x="128" y="251"/>
                  </a:lnTo>
                  <a:lnTo>
                    <a:pt x="124" y="250"/>
                  </a:lnTo>
                  <a:lnTo>
                    <a:pt x="118" y="251"/>
                  </a:lnTo>
                  <a:lnTo>
                    <a:pt x="116" y="262"/>
                  </a:lnTo>
                  <a:lnTo>
                    <a:pt x="117" y="272"/>
                  </a:lnTo>
                  <a:lnTo>
                    <a:pt x="115" y="279"/>
                  </a:lnTo>
                  <a:lnTo>
                    <a:pt x="110" y="285"/>
                  </a:lnTo>
                  <a:lnTo>
                    <a:pt x="107" y="283"/>
                  </a:lnTo>
                  <a:lnTo>
                    <a:pt x="106" y="279"/>
                  </a:lnTo>
                  <a:lnTo>
                    <a:pt x="101" y="278"/>
                  </a:lnTo>
                  <a:lnTo>
                    <a:pt x="96" y="285"/>
                  </a:lnTo>
                  <a:lnTo>
                    <a:pt x="85" y="286"/>
                  </a:lnTo>
                  <a:lnTo>
                    <a:pt x="71" y="284"/>
                  </a:lnTo>
                  <a:lnTo>
                    <a:pt x="66" y="281"/>
                  </a:lnTo>
                  <a:lnTo>
                    <a:pt x="64" y="277"/>
                  </a:lnTo>
                  <a:lnTo>
                    <a:pt x="66" y="274"/>
                  </a:lnTo>
                  <a:lnTo>
                    <a:pt x="68" y="272"/>
                  </a:lnTo>
                  <a:lnTo>
                    <a:pt x="73" y="271"/>
                  </a:lnTo>
                  <a:lnTo>
                    <a:pt x="76" y="269"/>
                  </a:lnTo>
                  <a:lnTo>
                    <a:pt x="74" y="266"/>
                  </a:lnTo>
                  <a:lnTo>
                    <a:pt x="64" y="267"/>
                  </a:lnTo>
                  <a:lnTo>
                    <a:pt x="59" y="265"/>
                  </a:lnTo>
                  <a:lnTo>
                    <a:pt x="50" y="259"/>
                  </a:lnTo>
                  <a:lnTo>
                    <a:pt x="42" y="252"/>
                  </a:lnTo>
                  <a:lnTo>
                    <a:pt x="37" y="253"/>
                  </a:lnTo>
                  <a:lnTo>
                    <a:pt x="27" y="256"/>
                  </a:lnTo>
                  <a:lnTo>
                    <a:pt x="22" y="256"/>
                  </a:lnTo>
                  <a:lnTo>
                    <a:pt x="17" y="256"/>
                  </a:lnTo>
                  <a:lnTo>
                    <a:pt x="0" y="249"/>
                  </a:lnTo>
                  <a:lnTo>
                    <a:pt x="2" y="243"/>
                  </a:lnTo>
                  <a:lnTo>
                    <a:pt x="5" y="239"/>
                  </a:lnTo>
                  <a:lnTo>
                    <a:pt x="5" y="234"/>
                  </a:lnTo>
                  <a:lnTo>
                    <a:pt x="11" y="225"/>
                  </a:lnTo>
                  <a:lnTo>
                    <a:pt x="13" y="214"/>
                  </a:lnTo>
                  <a:lnTo>
                    <a:pt x="11" y="213"/>
                  </a:lnTo>
                  <a:lnTo>
                    <a:pt x="4" y="208"/>
                  </a:lnTo>
                  <a:lnTo>
                    <a:pt x="4" y="204"/>
                  </a:lnTo>
                  <a:lnTo>
                    <a:pt x="9" y="198"/>
                  </a:lnTo>
                  <a:lnTo>
                    <a:pt x="11" y="193"/>
                  </a:lnTo>
                  <a:lnTo>
                    <a:pt x="6" y="187"/>
                  </a:lnTo>
                  <a:lnTo>
                    <a:pt x="4" y="183"/>
                  </a:lnTo>
                  <a:lnTo>
                    <a:pt x="5" y="179"/>
                  </a:lnTo>
                  <a:lnTo>
                    <a:pt x="6" y="177"/>
                  </a:lnTo>
                  <a:lnTo>
                    <a:pt x="5" y="171"/>
                  </a:lnTo>
                  <a:lnTo>
                    <a:pt x="2" y="166"/>
                  </a:lnTo>
                  <a:lnTo>
                    <a:pt x="1" y="162"/>
                  </a:lnTo>
                  <a:lnTo>
                    <a:pt x="3" y="158"/>
                  </a:lnTo>
                  <a:lnTo>
                    <a:pt x="6" y="152"/>
                  </a:lnTo>
                  <a:lnTo>
                    <a:pt x="12" y="143"/>
                  </a:lnTo>
                  <a:lnTo>
                    <a:pt x="13" y="135"/>
                  </a:lnTo>
                  <a:lnTo>
                    <a:pt x="19" y="127"/>
                  </a:lnTo>
                  <a:lnTo>
                    <a:pt x="22" y="116"/>
                  </a:lnTo>
                  <a:lnTo>
                    <a:pt x="18" y="111"/>
                  </a:lnTo>
                  <a:lnTo>
                    <a:pt x="19" y="107"/>
                  </a:lnTo>
                  <a:lnTo>
                    <a:pt x="25" y="100"/>
                  </a:lnTo>
                  <a:lnTo>
                    <a:pt x="25" y="94"/>
                  </a:lnTo>
                  <a:lnTo>
                    <a:pt x="19" y="90"/>
                  </a:lnTo>
                  <a:lnTo>
                    <a:pt x="18" y="87"/>
                  </a:lnTo>
                  <a:lnTo>
                    <a:pt x="20" y="83"/>
                  </a:lnTo>
                  <a:lnTo>
                    <a:pt x="22" y="81"/>
                  </a:lnTo>
                  <a:lnTo>
                    <a:pt x="26" y="81"/>
                  </a:lnTo>
                  <a:lnTo>
                    <a:pt x="30" y="77"/>
                  </a:lnTo>
                  <a:lnTo>
                    <a:pt x="28" y="66"/>
                  </a:lnTo>
                  <a:lnTo>
                    <a:pt x="27" y="58"/>
                  </a:lnTo>
                  <a:lnTo>
                    <a:pt x="22" y="44"/>
                  </a:lnTo>
                  <a:lnTo>
                    <a:pt x="29" y="38"/>
                  </a:lnTo>
                  <a:lnTo>
                    <a:pt x="31" y="32"/>
                  </a:lnTo>
                  <a:lnTo>
                    <a:pt x="38" y="29"/>
                  </a:lnTo>
                  <a:lnTo>
                    <a:pt x="42" y="30"/>
                  </a:lnTo>
                  <a:lnTo>
                    <a:pt x="53" y="37"/>
                  </a:lnTo>
                  <a:lnTo>
                    <a:pt x="66" y="37"/>
                  </a:lnTo>
                  <a:lnTo>
                    <a:pt x="71" y="33"/>
                  </a:lnTo>
                  <a:lnTo>
                    <a:pt x="73" y="29"/>
                  </a:lnTo>
                  <a:lnTo>
                    <a:pt x="81" y="25"/>
                  </a:lnTo>
                  <a:lnTo>
                    <a:pt x="84" y="25"/>
                  </a:lnTo>
                  <a:lnTo>
                    <a:pt x="94" y="18"/>
                  </a:lnTo>
                  <a:lnTo>
                    <a:pt x="97" y="21"/>
                  </a:lnTo>
                  <a:lnTo>
                    <a:pt x="102" y="22"/>
                  </a:lnTo>
                  <a:lnTo>
                    <a:pt x="110" y="15"/>
                  </a:lnTo>
                  <a:lnTo>
                    <a:pt x="115" y="14"/>
                  </a:lnTo>
                  <a:lnTo>
                    <a:pt x="119" y="17"/>
                  </a:lnTo>
                  <a:lnTo>
                    <a:pt x="123" y="20"/>
                  </a:lnTo>
                  <a:lnTo>
                    <a:pt x="126" y="20"/>
                  </a:lnTo>
                  <a:lnTo>
                    <a:pt x="128" y="14"/>
                  </a:lnTo>
                  <a:lnTo>
                    <a:pt x="131" y="13"/>
                  </a:lnTo>
                  <a:lnTo>
                    <a:pt x="133" y="11"/>
                  </a:lnTo>
                  <a:lnTo>
                    <a:pt x="134" y="8"/>
                  </a:lnTo>
                  <a:lnTo>
                    <a:pt x="135" y="5"/>
                  </a:lnTo>
                  <a:lnTo>
                    <a:pt x="139" y="2"/>
                  </a:lnTo>
                  <a:lnTo>
                    <a:pt x="143" y="0"/>
                  </a:lnTo>
                  <a:lnTo>
                    <a:pt x="146" y="0"/>
                  </a:lnTo>
                  <a:lnTo>
                    <a:pt x="147" y="2"/>
                  </a:lnTo>
                  <a:lnTo>
                    <a:pt x="161" y="22"/>
                  </a:lnTo>
                  <a:lnTo>
                    <a:pt x="168" y="42"/>
                  </a:lnTo>
                  <a:lnTo>
                    <a:pt x="172" y="49"/>
                  </a:lnTo>
                  <a:lnTo>
                    <a:pt x="169" y="53"/>
                  </a:lnTo>
                  <a:lnTo>
                    <a:pt x="166" y="55"/>
                  </a:lnTo>
                  <a:lnTo>
                    <a:pt x="164" y="58"/>
                  </a:lnTo>
                  <a:lnTo>
                    <a:pt x="165" y="61"/>
                  </a:lnTo>
                  <a:lnTo>
                    <a:pt x="169" y="65"/>
                  </a:lnTo>
                  <a:lnTo>
                    <a:pt x="181" y="73"/>
                  </a:lnTo>
                  <a:lnTo>
                    <a:pt x="182" y="79"/>
                  </a:lnTo>
                  <a:lnTo>
                    <a:pt x="182" y="89"/>
                  </a:lnTo>
                  <a:lnTo>
                    <a:pt x="183" y="92"/>
                  </a:lnTo>
                  <a:lnTo>
                    <a:pt x="185" y="96"/>
                  </a:lnTo>
                  <a:lnTo>
                    <a:pt x="187" y="100"/>
                  </a:lnTo>
                  <a:lnTo>
                    <a:pt x="187" y="128"/>
                  </a:lnTo>
                  <a:lnTo>
                    <a:pt x="192" y="130"/>
                  </a:lnTo>
                  <a:lnTo>
                    <a:pt x="196" y="140"/>
                  </a:lnTo>
                  <a:lnTo>
                    <a:pt x="200" y="148"/>
                  </a:lnTo>
                  <a:lnTo>
                    <a:pt x="198" y="152"/>
                  </a:lnTo>
                  <a:lnTo>
                    <a:pt x="193" y="155"/>
                  </a:lnTo>
                  <a:lnTo>
                    <a:pt x="192" y="158"/>
                  </a:lnTo>
                  <a:lnTo>
                    <a:pt x="197" y="158"/>
                  </a:lnTo>
                  <a:lnTo>
                    <a:pt x="195" y="166"/>
                  </a:lnTo>
                  <a:lnTo>
                    <a:pt x="191" y="169"/>
                  </a:lnTo>
                  <a:lnTo>
                    <a:pt x="184" y="171"/>
                  </a:lnTo>
                  <a:lnTo>
                    <a:pt x="183" y="175"/>
                  </a:lnTo>
                  <a:lnTo>
                    <a:pt x="190" y="176"/>
                  </a:lnTo>
                  <a:lnTo>
                    <a:pt x="191" y="178"/>
                  </a:lnTo>
                  <a:lnTo>
                    <a:pt x="190" y="186"/>
                  </a:lnTo>
                  <a:lnTo>
                    <a:pt x="180" y="190"/>
                  </a:lnTo>
                  <a:lnTo>
                    <a:pt x="177" y="195"/>
                  </a:lnTo>
                  <a:lnTo>
                    <a:pt x="179" y="195"/>
                  </a:lnTo>
                  <a:lnTo>
                    <a:pt x="186" y="195"/>
                  </a:lnTo>
                  <a:lnTo>
                    <a:pt x="186" y="199"/>
                  </a:lnTo>
                  <a:lnTo>
                    <a:pt x="180" y="206"/>
                  </a:lnTo>
                  <a:lnTo>
                    <a:pt x="177" y="208"/>
                  </a:lnTo>
                  <a:lnTo>
                    <a:pt x="177" y="211"/>
                  </a:lnTo>
                  <a:lnTo>
                    <a:pt x="174" y="214"/>
                  </a:lnTo>
                  <a:lnTo>
                    <a:pt x="174" y="218"/>
                  </a:lnTo>
                  <a:lnTo>
                    <a:pt x="177" y="219"/>
                  </a:lnTo>
                  <a:lnTo>
                    <a:pt x="177" y="223"/>
                  </a:lnTo>
                  <a:lnTo>
                    <a:pt x="170" y="231"/>
                  </a:lnTo>
                  <a:lnTo>
                    <a:pt x="167" y="232"/>
                  </a:lnTo>
                  <a:lnTo>
                    <a:pt x="168" y="236"/>
                  </a:lnTo>
                  <a:lnTo>
                    <a:pt x="157" y="237"/>
                  </a:lnTo>
                  <a:lnTo>
                    <a:pt x="149" y="251"/>
                  </a:lnTo>
                  <a:lnTo>
                    <a:pt x="144" y="257"/>
                  </a:lnTo>
                  <a:close/>
                </a:path>
              </a:pathLst>
            </a:custGeom>
            <a:solidFill>
              <a:srgbClr val="1DB1E1"/>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24" name="Freeform 8">
              <a:extLst>
                <a:ext uri="{FF2B5EF4-FFF2-40B4-BE49-F238E27FC236}">
                  <a16:creationId xmlns:a16="http://schemas.microsoft.com/office/drawing/2014/main" id="{00000000-0008-0000-0900-0000147E1200}"/>
                </a:ext>
              </a:extLst>
            </xdr:cNvPr>
            <xdr:cNvSpPr>
              <a:spLocks noChangeAspect="1"/>
            </xdr:cNvSpPr>
          </xdr:nvSpPr>
          <xdr:spPr bwMode="auto">
            <a:xfrm rot="238154">
              <a:off x="2067" y="1949"/>
              <a:ext cx="213" cy="343"/>
            </a:xfrm>
            <a:custGeom>
              <a:avLst/>
              <a:gdLst>
                <a:gd name="T0" fmla="*/ 889 w 171"/>
                <a:gd name="T1" fmla="*/ 2347 h 277"/>
                <a:gd name="T2" fmla="*/ 851 w 171"/>
                <a:gd name="T3" fmla="*/ 2271 h 277"/>
                <a:gd name="T4" fmla="*/ 772 w 171"/>
                <a:gd name="T5" fmla="*/ 2183 h 277"/>
                <a:gd name="T6" fmla="*/ 700 w 171"/>
                <a:gd name="T7" fmla="*/ 2183 h 277"/>
                <a:gd name="T8" fmla="*/ 582 w 171"/>
                <a:gd name="T9" fmla="*/ 2130 h 277"/>
                <a:gd name="T10" fmla="*/ 448 w 171"/>
                <a:gd name="T11" fmla="*/ 2039 h 277"/>
                <a:gd name="T12" fmla="*/ 301 w 171"/>
                <a:gd name="T13" fmla="*/ 2041 h 277"/>
                <a:gd name="T14" fmla="*/ 228 w 171"/>
                <a:gd name="T15" fmla="*/ 1891 h 277"/>
                <a:gd name="T16" fmla="*/ 321 w 171"/>
                <a:gd name="T17" fmla="*/ 1784 h 277"/>
                <a:gd name="T18" fmla="*/ 411 w 171"/>
                <a:gd name="T19" fmla="*/ 1530 h 277"/>
                <a:gd name="T20" fmla="*/ 441 w 171"/>
                <a:gd name="T21" fmla="*/ 1183 h 277"/>
                <a:gd name="T22" fmla="*/ 354 w 171"/>
                <a:gd name="T23" fmla="*/ 998 h 277"/>
                <a:gd name="T24" fmla="*/ 244 w 171"/>
                <a:gd name="T25" fmla="*/ 996 h 277"/>
                <a:gd name="T26" fmla="*/ 149 w 171"/>
                <a:gd name="T27" fmla="*/ 1035 h 277"/>
                <a:gd name="T28" fmla="*/ 1 w 171"/>
                <a:gd name="T29" fmla="*/ 998 h 277"/>
                <a:gd name="T30" fmla="*/ 2 w 171"/>
                <a:gd name="T31" fmla="*/ 811 h 277"/>
                <a:gd name="T32" fmla="*/ 186 w 171"/>
                <a:gd name="T33" fmla="*/ 858 h 277"/>
                <a:gd name="T34" fmla="*/ 284 w 171"/>
                <a:gd name="T35" fmla="*/ 791 h 277"/>
                <a:gd name="T36" fmla="*/ 379 w 171"/>
                <a:gd name="T37" fmla="*/ 572 h 277"/>
                <a:gd name="T38" fmla="*/ 400 w 171"/>
                <a:gd name="T39" fmla="*/ 343 h 277"/>
                <a:gd name="T40" fmla="*/ 321 w 171"/>
                <a:gd name="T41" fmla="*/ 239 h 277"/>
                <a:gd name="T42" fmla="*/ 324 w 171"/>
                <a:gd name="T43" fmla="*/ 149 h 277"/>
                <a:gd name="T44" fmla="*/ 424 w 171"/>
                <a:gd name="T45" fmla="*/ 146 h 277"/>
                <a:gd name="T46" fmla="*/ 498 w 171"/>
                <a:gd name="T47" fmla="*/ 135 h 277"/>
                <a:gd name="T48" fmla="*/ 549 w 171"/>
                <a:gd name="T49" fmla="*/ 71 h 277"/>
                <a:gd name="T50" fmla="*/ 762 w 171"/>
                <a:gd name="T51" fmla="*/ 146 h 277"/>
                <a:gd name="T52" fmla="*/ 914 w 171"/>
                <a:gd name="T53" fmla="*/ 118 h 277"/>
                <a:gd name="T54" fmla="*/ 973 w 171"/>
                <a:gd name="T55" fmla="*/ 71 h 277"/>
                <a:gd name="T56" fmla="*/ 1060 w 171"/>
                <a:gd name="T57" fmla="*/ 109 h 277"/>
                <a:gd name="T58" fmla="*/ 1095 w 171"/>
                <a:gd name="T59" fmla="*/ 181 h 277"/>
                <a:gd name="T60" fmla="*/ 1175 w 171"/>
                <a:gd name="T61" fmla="*/ 181 h 277"/>
                <a:gd name="T62" fmla="*/ 1257 w 171"/>
                <a:gd name="T63" fmla="*/ 185 h 277"/>
                <a:gd name="T64" fmla="*/ 1325 w 171"/>
                <a:gd name="T65" fmla="*/ 146 h 277"/>
                <a:gd name="T66" fmla="*/ 1384 w 171"/>
                <a:gd name="T67" fmla="*/ 26 h 277"/>
                <a:gd name="T68" fmla="*/ 1415 w 171"/>
                <a:gd name="T69" fmla="*/ 2 h 277"/>
                <a:gd name="T70" fmla="*/ 1401 w 171"/>
                <a:gd name="T71" fmla="*/ 109 h 277"/>
                <a:gd name="T72" fmla="*/ 1440 w 171"/>
                <a:gd name="T73" fmla="*/ 193 h 277"/>
                <a:gd name="T74" fmla="*/ 1533 w 171"/>
                <a:gd name="T75" fmla="*/ 149 h 277"/>
                <a:gd name="T76" fmla="*/ 1536 w 171"/>
                <a:gd name="T77" fmla="*/ 256 h 277"/>
                <a:gd name="T78" fmla="*/ 1472 w 171"/>
                <a:gd name="T79" fmla="*/ 343 h 277"/>
                <a:gd name="T80" fmla="*/ 1490 w 171"/>
                <a:gd name="T81" fmla="*/ 425 h 277"/>
                <a:gd name="T82" fmla="*/ 1401 w 171"/>
                <a:gd name="T83" fmla="*/ 526 h 277"/>
                <a:gd name="T84" fmla="*/ 1461 w 171"/>
                <a:gd name="T85" fmla="*/ 712 h 277"/>
                <a:gd name="T86" fmla="*/ 1440 w 171"/>
                <a:gd name="T87" fmla="*/ 842 h 277"/>
                <a:gd name="T88" fmla="*/ 1384 w 171"/>
                <a:gd name="T89" fmla="*/ 858 h 277"/>
                <a:gd name="T90" fmla="*/ 1379 w 171"/>
                <a:gd name="T91" fmla="*/ 919 h 277"/>
                <a:gd name="T92" fmla="*/ 1432 w 171"/>
                <a:gd name="T93" fmla="*/ 998 h 277"/>
                <a:gd name="T94" fmla="*/ 1364 w 171"/>
                <a:gd name="T95" fmla="*/ 1092 h 277"/>
                <a:gd name="T96" fmla="*/ 1379 w 171"/>
                <a:gd name="T97" fmla="*/ 1233 h 277"/>
                <a:gd name="T98" fmla="*/ 1320 w 171"/>
                <a:gd name="T99" fmla="*/ 1363 h 277"/>
                <a:gd name="T100" fmla="*/ 1233 w 171"/>
                <a:gd name="T101" fmla="*/ 1492 h 277"/>
                <a:gd name="T102" fmla="*/ 1226 w 171"/>
                <a:gd name="T103" fmla="*/ 1557 h 277"/>
                <a:gd name="T104" fmla="*/ 1257 w 171"/>
                <a:gd name="T105" fmla="*/ 1648 h 277"/>
                <a:gd name="T106" fmla="*/ 1244 w 171"/>
                <a:gd name="T107" fmla="*/ 1699 h 277"/>
                <a:gd name="T108" fmla="*/ 1305 w 171"/>
                <a:gd name="T109" fmla="*/ 1784 h 277"/>
                <a:gd name="T110" fmla="*/ 1244 w 171"/>
                <a:gd name="T111" fmla="*/ 1886 h 277"/>
                <a:gd name="T112" fmla="*/ 1305 w 171"/>
                <a:gd name="T113" fmla="*/ 1954 h 277"/>
                <a:gd name="T114" fmla="*/ 1305 w 171"/>
                <a:gd name="T115" fmla="*/ 2062 h 277"/>
                <a:gd name="T116" fmla="*/ 1246 w 171"/>
                <a:gd name="T117" fmla="*/ 2177 h 277"/>
                <a:gd name="T118" fmla="*/ 1206 w 171"/>
                <a:gd name="T119" fmla="*/ 2270 h 277"/>
                <a:gd name="T120" fmla="*/ 1079 w 171"/>
                <a:gd name="T121" fmla="*/ 2287 h 277"/>
                <a:gd name="T122" fmla="*/ 1009 w 171"/>
                <a:gd name="T123" fmla="*/ 2347 h 277"/>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171" h="277">
                  <a:moveTo>
                    <a:pt x="106" y="277"/>
                  </a:moveTo>
                  <a:lnTo>
                    <a:pt x="99" y="277"/>
                  </a:lnTo>
                  <a:lnTo>
                    <a:pt x="96" y="274"/>
                  </a:lnTo>
                  <a:lnTo>
                    <a:pt x="94" y="268"/>
                  </a:lnTo>
                  <a:lnTo>
                    <a:pt x="88" y="263"/>
                  </a:lnTo>
                  <a:lnTo>
                    <a:pt x="86" y="258"/>
                  </a:lnTo>
                  <a:lnTo>
                    <a:pt x="81" y="256"/>
                  </a:lnTo>
                  <a:lnTo>
                    <a:pt x="78" y="258"/>
                  </a:lnTo>
                  <a:lnTo>
                    <a:pt x="70" y="252"/>
                  </a:lnTo>
                  <a:lnTo>
                    <a:pt x="64" y="251"/>
                  </a:lnTo>
                  <a:lnTo>
                    <a:pt x="51" y="245"/>
                  </a:lnTo>
                  <a:lnTo>
                    <a:pt x="50" y="240"/>
                  </a:lnTo>
                  <a:lnTo>
                    <a:pt x="44" y="237"/>
                  </a:lnTo>
                  <a:lnTo>
                    <a:pt x="33" y="241"/>
                  </a:lnTo>
                  <a:lnTo>
                    <a:pt x="24" y="237"/>
                  </a:lnTo>
                  <a:lnTo>
                    <a:pt x="25" y="223"/>
                  </a:lnTo>
                  <a:lnTo>
                    <a:pt x="27" y="218"/>
                  </a:lnTo>
                  <a:lnTo>
                    <a:pt x="35" y="211"/>
                  </a:lnTo>
                  <a:lnTo>
                    <a:pt x="41" y="201"/>
                  </a:lnTo>
                  <a:lnTo>
                    <a:pt x="46" y="181"/>
                  </a:lnTo>
                  <a:lnTo>
                    <a:pt x="49" y="162"/>
                  </a:lnTo>
                  <a:lnTo>
                    <a:pt x="49" y="140"/>
                  </a:lnTo>
                  <a:lnTo>
                    <a:pt x="42" y="123"/>
                  </a:lnTo>
                  <a:lnTo>
                    <a:pt x="39" y="118"/>
                  </a:lnTo>
                  <a:lnTo>
                    <a:pt x="32" y="116"/>
                  </a:lnTo>
                  <a:lnTo>
                    <a:pt x="27" y="117"/>
                  </a:lnTo>
                  <a:lnTo>
                    <a:pt x="23" y="120"/>
                  </a:lnTo>
                  <a:lnTo>
                    <a:pt x="17" y="122"/>
                  </a:lnTo>
                  <a:lnTo>
                    <a:pt x="5" y="121"/>
                  </a:lnTo>
                  <a:lnTo>
                    <a:pt x="1" y="118"/>
                  </a:lnTo>
                  <a:lnTo>
                    <a:pt x="0" y="101"/>
                  </a:lnTo>
                  <a:lnTo>
                    <a:pt x="2" y="96"/>
                  </a:lnTo>
                  <a:lnTo>
                    <a:pt x="14" y="102"/>
                  </a:lnTo>
                  <a:lnTo>
                    <a:pt x="21" y="101"/>
                  </a:lnTo>
                  <a:lnTo>
                    <a:pt x="26" y="99"/>
                  </a:lnTo>
                  <a:lnTo>
                    <a:pt x="31" y="94"/>
                  </a:lnTo>
                  <a:lnTo>
                    <a:pt x="34" y="89"/>
                  </a:lnTo>
                  <a:lnTo>
                    <a:pt x="42" y="67"/>
                  </a:lnTo>
                  <a:lnTo>
                    <a:pt x="44" y="51"/>
                  </a:lnTo>
                  <a:lnTo>
                    <a:pt x="44" y="40"/>
                  </a:lnTo>
                  <a:lnTo>
                    <a:pt x="42" y="35"/>
                  </a:lnTo>
                  <a:lnTo>
                    <a:pt x="35" y="28"/>
                  </a:lnTo>
                  <a:lnTo>
                    <a:pt x="35" y="24"/>
                  </a:lnTo>
                  <a:lnTo>
                    <a:pt x="36" y="18"/>
                  </a:lnTo>
                  <a:lnTo>
                    <a:pt x="41" y="16"/>
                  </a:lnTo>
                  <a:lnTo>
                    <a:pt x="47" y="17"/>
                  </a:lnTo>
                  <a:lnTo>
                    <a:pt x="51" y="17"/>
                  </a:lnTo>
                  <a:lnTo>
                    <a:pt x="55" y="15"/>
                  </a:lnTo>
                  <a:lnTo>
                    <a:pt x="57" y="8"/>
                  </a:lnTo>
                  <a:lnTo>
                    <a:pt x="61" y="8"/>
                  </a:lnTo>
                  <a:lnTo>
                    <a:pt x="71" y="14"/>
                  </a:lnTo>
                  <a:lnTo>
                    <a:pt x="85" y="17"/>
                  </a:lnTo>
                  <a:lnTo>
                    <a:pt x="90" y="13"/>
                  </a:lnTo>
                  <a:lnTo>
                    <a:pt x="102" y="14"/>
                  </a:lnTo>
                  <a:lnTo>
                    <a:pt x="104" y="11"/>
                  </a:lnTo>
                  <a:lnTo>
                    <a:pt x="108" y="8"/>
                  </a:lnTo>
                  <a:lnTo>
                    <a:pt x="113" y="8"/>
                  </a:lnTo>
                  <a:lnTo>
                    <a:pt x="117" y="12"/>
                  </a:lnTo>
                  <a:lnTo>
                    <a:pt x="119" y="17"/>
                  </a:lnTo>
                  <a:lnTo>
                    <a:pt x="122" y="21"/>
                  </a:lnTo>
                  <a:lnTo>
                    <a:pt x="128" y="24"/>
                  </a:lnTo>
                  <a:lnTo>
                    <a:pt x="131" y="21"/>
                  </a:lnTo>
                  <a:lnTo>
                    <a:pt x="135" y="21"/>
                  </a:lnTo>
                  <a:lnTo>
                    <a:pt x="140" y="22"/>
                  </a:lnTo>
                  <a:lnTo>
                    <a:pt x="144" y="18"/>
                  </a:lnTo>
                  <a:lnTo>
                    <a:pt x="148" y="17"/>
                  </a:lnTo>
                  <a:lnTo>
                    <a:pt x="153" y="8"/>
                  </a:lnTo>
                  <a:lnTo>
                    <a:pt x="154" y="3"/>
                  </a:lnTo>
                  <a:lnTo>
                    <a:pt x="156" y="0"/>
                  </a:lnTo>
                  <a:lnTo>
                    <a:pt x="157" y="2"/>
                  </a:lnTo>
                  <a:lnTo>
                    <a:pt x="159" y="9"/>
                  </a:lnTo>
                  <a:lnTo>
                    <a:pt x="156" y="12"/>
                  </a:lnTo>
                  <a:lnTo>
                    <a:pt x="154" y="16"/>
                  </a:lnTo>
                  <a:lnTo>
                    <a:pt x="160" y="23"/>
                  </a:lnTo>
                  <a:lnTo>
                    <a:pt x="165" y="23"/>
                  </a:lnTo>
                  <a:lnTo>
                    <a:pt x="170" y="18"/>
                  </a:lnTo>
                  <a:lnTo>
                    <a:pt x="171" y="20"/>
                  </a:lnTo>
                  <a:lnTo>
                    <a:pt x="171" y="30"/>
                  </a:lnTo>
                  <a:lnTo>
                    <a:pt x="164" y="34"/>
                  </a:lnTo>
                  <a:lnTo>
                    <a:pt x="164" y="40"/>
                  </a:lnTo>
                  <a:lnTo>
                    <a:pt x="166" y="49"/>
                  </a:lnTo>
                  <a:lnTo>
                    <a:pt x="165" y="50"/>
                  </a:lnTo>
                  <a:lnTo>
                    <a:pt x="163" y="56"/>
                  </a:lnTo>
                  <a:lnTo>
                    <a:pt x="156" y="62"/>
                  </a:lnTo>
                  <a:lnTo>
                    <a:pt x="161" y="76"/>
                  </a:lnTo>
                  <a:lnTo>
                    <a:pt x="162" y="84"/>
                  </a:lnTo>
                  <a:lnTo>
                    <a:pt x="164" y="95"/>
                  </a:lnTo>
                  <a:lnTo>
                    <a:pt x="160" y="99"/>
                  </a:lnTo>
                  <a:lnTo>
                    <a:pt x="156" y="99"/>
                  </a:lnTo>
                  <a:lnTo>
                    <a:pt x="154" y="101"/>
                  </a:lnTo>
                  <a:lnTo>
                    <a:pt x="152" y="105"/>
                  </a:lnTo>
                  <a:lnTo>
                    <a:pt x="153" y="108"/>
                  </a:lnTo>
                  <a:lnTo>
                    <a:pt x="159" y="112"/>
                  </a:lnTo>
                  <a:lnTo>
                    <a:pt x="159" y="118"/>
                  </a:lnTo>
                  <a:lnTo>
                    <a:pt x="153" y="125"/>
                  </a:lnTo>
                  <a:lnTo>
                    <a:pt x="152" y="129"/>
                  </a:lnTo>
                  <a:lnTo>
                    <a:pt x="156" y="134"/>
                  </a:lnTo>
                  <a:lnTo>
                    <a:pt x="153" y="145"/>
                  </a:lnTo>
                  <a:lnTo>
                    <a:pt x="147" y="153"/>
                  </a:lnTo>
                  <a:lnTo>
                    <a:pt x="146" y="161"/>
                  </a:lnTo>
                  <a:lnTo>
                    <a:pt x="140" y="170"/>
                  </a:lnTo>
                  <a:lnTo>
                    <a:pt x="137" y="176"/>
                  </a:lnTo>
                  <a:lnTo>
                    <a:pt x="135" y="180"/>
                  </a:lnTo>
                  <a:lnTo>
                    <a:pt x="136" y="184"/>
                  </a:lnTo>
                  <a:lnTo>
                    <a:pt x="139" y="189"/>
                  </a:lnTo>
                  <a:lnTo>
                    <a:pt x="140" y="195"/>
                  </a:lnTo>
                  <a:lnTo>
                    <a:pt x="139" y="197"/>
                  </a:lnTo>
                  <a:lnTo>
                    <a:pt x="138" y="201"/>
                  </a:lnTo>
                  <a:lnTo>
                    <a:pt x="140" y="205"/>
                  </a:lnTo>
                  <a:lnTo>
                    <a:pt x="145" y="211"/>
                  </a:lnTo>
                  <a:lnTo>
                    <a:pt x="143" y="216"/>
                  </a:lnTo>
                  <a:lnTo>
                    <a:pt x="138" y="222"/>
                  </a:lnTo>
                  <a:lnTo>
                    <a:pt x="138" y="226"/>
                  </a:lnTo>
                  <a:lnTo>
                    <a:pt x="145" y="231"/>
                  </a:lnTo>
                  <a:lnTo>
                    <a:pt x="147" y="232"/>
                  </a:lnTo>
                  <a:lnTo>
                    <a:pt x="145" y="243"/>
                  </a:lnTo>
                  <a:lnTo>
                    <a:pt x="139" y="252"/>
                  </a:lnTo>
                  <a:lnTo>
                    <a:pt x="139" y="257"/>
                  </a:lnTo>
                  <a:lnTo>
                    <a:pt x="136" y="261"/>
                  </a:lnTo>
                  <a:lnTo>
                    <a:pt x="134" y="267"/>
                  </a:lnTo>
                  <a:lnTo>
                    <a:pt x="128" y="265"/>
                  </a:lnTo>
                  <a:lnTo>
                    <a:pt x="120" y="270"/>
                  </a:lnTo>
                  <a:lnTo>
                    <a:pt x="118" y="274"/>
                  </a:lnTo>
                  <a:lnTo>
                    <a:pt x="112" y="277"/>
                  </a:lnTo>
                  <a:lnTo>
                    <a:pt x="106" y="277"/>
                  </a:lnTo>
                  <a:close/>
                </a:path>
              </a:pathLst>
            </a:custGeom>
            <a:solidFill>
              <a:srgbClr val="1DB1E1"/>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25" name="Freeform 9">
              <a:extLst>
                <a:ext uri="{FF2B5EF4-FFF2-40B4-BE49-F238E27FC236}">
                  <a16:creationId xmlns:a16="http://schemas.microsoft.com/office/drawing/2014/main" id="{00000000-0008-0000-0900-0000157E1200}"/>
                </a:ext>
              </a:extLst>
            </xdr:cNvPr>
            <xdr:cNvSpPr>
              <a:spLocks noChangeAspect="1"/>
            </xdr:cNvSpPr>
          </xdr:nvSpPr>
          <xdr:spPr bwMode="auto">
            <a:xfrm rot="238154">
              <a:off x="1865" y="2925"/>
              <a:ext cx="170" cy="79"/>
            </a:xfrm>
            <a:custGeom>
              <a:avLst/>
              <a:gdLst>
                <a:gd name="T0" fmla="*/ 1124 w 136"/>
                <a:gd name="T1" fmla="*/ 331 h 65"/>
                <a:gd name="T2" fmla="*/ 1241 w 136"/>
                <a:gd name="T3" fmla="*/ 303 h 65"/>
                <a:gd name="T4" fmla="*/ 1270 w 136"/>
                <a:gd name="T5" fmla="*/ 235 h 65"/>
                <a:gd name="T6" fmla="*/ 1233 w 136"/>
                <a:gd name="T7" fmla="*/ 159 h 65"/>
                <a:gd name="T8" fmla="*/ 1188 w 136"/>
                <a:gd name="T9" fmla="*/ 109 h 65"/>
                <a:gd name="T10" fmla="*/ 1101 w 136"/>
                <a:gd name="T11" fmla="*/ 108 h 65"/>
                <a:gd name="T12" fmla="*/ 1016 w 136"/>
                <a:gd name="T13" fmla="*/ 132 h 65"/>
                <a:gd name="T14" fmla="*/ 866 w 136"/>
                <a:gd name="T15" fmla="*/ 159 h 65"/>
                <a:gd name="T16" fmla="*/ 806 w 136"/>
                <a:gd name="T17" fmla="*/ 108 h 65"/>
                <a:gd name="T18" fmla="*/ 780 w 136"/>
                <a:gd name="T19" fmla="*/ 108 h 65"/>
                <a:gd name="T20" fmla="*/ 744 w 136"/>
                <a:gd name="T21" fmla="*/ 124 h 65"/>
                <a:gd name="T22" fmla="*/ 693 w 136"/>
                <a:gd name="T23" fmla="*/ 132 h 65"/>
                <a:gd name="T24" fmla="*/ 625 w 136"/>
                <a:gd name="T25" fmla="*/ 139 h 65"/>
                <a:gd name="T26" fmla="*/ 588 w 136"/>
                <a:gd name="T27" fmla="*/ 90 h 65"/>
                <a:gd name="T28" fmla="*/ 533 w 136"/>
                <a:gd name="T29" fmla="*/ 73 h 65"/>
                <a:gd name="T30" fmla="*/ 380 w 136"/>
                <a:gd name="T31" fmla="*/ 41 h 65"/>
                <a:gd name="T32" fmla="*/ 264 w 136"/>
                <a:gd name="T33" fmla="*/ 2 h 65"/>
                <a:gd name="T34" fmla="*/ 95 w 136"/>
                <a:gd name="T35" fmla="*/ 34 h 65"/>
                <a:gd name="T36" fmla="*/ 49 w 136"/>
                <a:gd name="T37" fmla="*/ 89 h 65"/>
                <a:gd name="T38" fmla="*/ 149 w 136"/>
                <a:gd name="T39" fmla="*/ 224 h 65"/>
                <a:gd name="T40" fmla="*/ 264 w 136"/>
                <a:gd name="T41" fmla="*/ 287 h 65"/>
                <a:gd name="T42" fmla="*/ 305 w 136"/>
                <a:gd name="T43" fmla="*/ 303 h 65"/>
                <a:gd name="T44" fmla="*/ 361 w 136"/>
                <a:gd name="T45" fmla="*/ 306 h 65"/>
                <a:gd name="T46" fmla="*/ 438 w 136"/>
                <a:gd name="T47" fmla="*/ 325 h 65"/>
                <a:gd name="T48" fmla="*/ 508 w 136"/>
                <a:gd name="T49" fmla="*/ 325 h 65"/>
                <a:gd name="T50" fmla="*/ 588 w 136"/>
                <a:gd name="T51" fmla="*/ 349 h 65"/>
                <a:gd name="T52" fmla="*/ 624 w 136"/>
                <a:gd name="T53" fmla="*/ 423 h 65"/>
                <a:gd name="T54" fmla="*/ 661 w 136"/>
                <a:gd name="T55" fmla="*/ 458 h 65"/>
                <a:gd name="T56" fmla="*/ 685 w 136"/>
                <a:gd name="T57" fmla="*/ 418 h 65"/>
                <a:gd name="T58" fmla="*/ 666 w 136"/>
                <a:gd name="T59" fmla="*/ 372 h 65"/>
                <a:gd name="T60" fmla="*/ 666 w 136"/>
                <a:gd name="T61" fmla="*/ 331 h 65"/>
                <a:gd name="T62" fmla="*/ 711 w 136"/>
                <a:gd name="T63" fmla="*/ 332 h 65"/>
                <a:gd name="T64" fmla="*/ 744 w 136"/>
                <a:gd name="T65" fmla="*/ 316 h 65"/>
                <a:gd name="T66" fmla="*/ 806 w 136"/>
                <a:gd name="T67" fmla="*/ 303 h 65"/>
                <a:gd name="T68" fmla="*/ 858 w 136"/>
                <a:gd name="T69" fmla="*/ 332 h 65"/>
                <a:gd name="T70" fmla="*/ 993 w 136"/>
                <a:gd name="T71" fmla="*/ 372 h 65"/>
                <a:gd name="T72" fmla="*/ 1070 w 136"/>
                <a:gd name="T73" fmla="*/ 418 h 65"/>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136" h="65">
                  <a:moveTo>
                    <a:pt x="114" y="59"/>
                  </a:moveTo>
                  <a:lnTo>
                    <a:pt x="120" y="47"/>
                  </a:lnTo>
                  <a:lnTo>
                    <a:pt x="129" y="43"/>
                  </a:lnTo>
                  <a:lnTo>
                    <a:pt x="133" y="43"/>
                  </a:lnTo>
                  <a:lnTo>
                    <a:pt x="133" y="37"/>
                  </a:lnTo>
                  <a:lnTo>
                    <a:pt x="136" y="33"/>
                  </a:lnTo>
                  <a:lnTo>
                    <a:pt x="136" y="29"/>
                  </a:lnTo>
                  <a:lnTo>
                    <a:pt x="132" y="22"/>
                  </a:lnTo>
                  <a:lnTo>
                    <a:pt x="131" y="17"/>
                  </a:lnTo>
                  <a:lnTo>
                    <a:pt x="127" y="16"/>
                  </a:lnTo>
                  <a:lnTo>
                    <a:pt x="121" y="15"/>
                  </a:lnTo>
                  <a:lnTo>
                    <a:pt x="118" y="15"/>
                  </a:lnTo>
                  <a:lnTo>
                    <a:pt x="116" y="18"/>
                  </a:lnTo>
                  <a:lnTo>
                    <a:pt x="109" y="19"/>
                  </a:lnTo>
                  <a:lnTo>
                    <a:pt x="103" y="16"/>
                  </a:lnTo>
                  <a:lnTo>
                    <a:pt x="93" y="22"/>
                  </a:lnTo>
                  <a:lnTo>
                    <a:pt x="86" y="20"/>
                  </a:lnTo>
                  <a:lnTo>
                    <a:pt x="86" y="15"/>
                  </a:lnTo>
                  <a:lnTo>
                    <a:pt x="85" y="13"/>
                  </a:lnTo>
                  <a:lnTo>
                    <a:pt x="83" y="15"/>
                  </a:lnTo>
                  <a:lnTo>
                    <a:pt x="81" y="16"/>
                  </a:lnTo>
                  <a:lnTo>
                    <a:pt x="80" y="17"/>
                  </a:lnTo>
                  <a:lnTo>
                    <a:pt x="79" y="19"/>
                  </a:lnTo>
                  <a:lnTo>
                    <a:pt x="74" y="19"/>
                  </a:lnTo>
                  <a:lnTo>
                    <a:pt x="71" y="20"/>
                  </a:lnTo>
                  <a:lnTo>
                    <a:pt x="67" y="20"/>
                  </a:lnTo>
                  <a:lnTo>
                    <a:pt x="64" y="16"/>
                  </a:lnTo>
                  <a:lnTo>
                    <a:pt x="62" y="13"/>
                  </a:lnTo>
                  <a:lnTo>
                    <a:pt x="58" y="12"/>
                  </a:lnTo>
                  <a:lnTo>
                    <a:pt x="57" y="10"/>
                  </a:lnTo>
                  <a:lnTo>
                    <a:pt x="48" y="10"/>
                  </a:lnTo>
                  <a:lnTo>
                    <a:pt x="40" y="6"/>
                  </a:lnTo>
                  <a:lnTo>
                    <a:pt x="31" y="7"/>
                  </a:lnTo>
                  <a:lnTo>
                    <a:pt x="28" y="2"/>
                  </a:lnTo>
                  <a:lnTo>
                    <a:pt x="22" y="0"/>
                  </a:lnTo>
                  <a:lnTo>
                    <a:pt x="10" y="5"/>
                  </a:lnTo>
                  <a:lnTo>
                    <a:pt x="0" y="4"/>
                  </a:lnTo>
                  <a:lnTo>
                    <a:pt x="5" y="12"/>
                  </a:lnTo>
                  <a:lnTo>
                    <a:pt x="8" y="24"/>
                  </a:lnTo>
                  <a:lnTo>
                    <a:pt x="16" y="32"/>
                  </a:lnTo>
                  <a:lnTo>
                    <a:pt x="25" y="38"/>
                  </a:lnTo>
                  <a:lnTo>
                    <a:pt x="28" y="41"/>
                  </a:lnTo>
                  <a:lnTo>
                    <a:pt x="30" y="42"/>
                  </a:lnTo>
                  <a:lnTo>
                    <a:pt x="33" y="43"/>
                  </a:lnTo>
                  <a:lnTo>
                    <a:pt x="35" y="43"/>
                  </a:lnTo>
                  <a:lnTo>
                    <a:pt x="38" y="44"/>
                  </a:lnTo>
                  <a:lnTo>
                    <a:pt x="42" y="46"/>
                  </a:lnTo>
                  <a:lnTo>
                    <a:pt x="46" y="46"/>
                  </a:lnTo>
                  <a:lnTo>
                    <a:pt x="51" y="45"/>
                  </a:lnTo>
                  <a:lnTo>
                    <a:pt x="54" y="46"/>
                  </a:lnTo>
                  <a:lnTo>
                    <a:pt x="58" y="47"/>
                  </a:lnTo>
                  <a:lnTo>
                    <a:pt x="62" y="50"/>
                  </a:lnTo>
                  <a:lnTo>
                    <a:pt x="64" y="55"/>
                  </a:lnTo>
                  <a:lnTo>
                    <a:pt x="66" y="60"/>
                  </a:lnTo>
                  <a:lnTo>
                    <a:pt x="67" y="63"/>
                  </a:lnTo>
                  <a:lnTo>
                    <a:pt x="70" y="65"/>
                  </a:lnTo>
                  <a:lnTo>
                    <a:pt x="71" y="63"/>
                  </a:lnTo>
                  <a:lnTo>
                    <a:pt x="73" y="59"/>
                  </a:lnTo>
                  <a:lnTo>
                    <a:pt x="73" y="57"/>
                  </a:lnTo>
                  <a:lnTo>
                    <a:pt x="71" y="53"/>
                  </a:lnTo>
                  <a:lnTo>
                    <a:pt x="70" y="49"/>
                  </a:lnTo>
                  <a:lnTo>
                    <a:pt x="71" y="47"/>
                  </a:lnTo>
                  <a:lnTo>
                    <a:pt x="72" y="46"/>
                  </a:lnTo>
                  <a:lnTo>
                    <a:pt x="76" y="48"/>
                  </a:lnTo>
                  <a:lnTo>
                    <a:pt x="77" y="46"/>
                  </a:lnTo>
                  <a:lnTo>
                    <a:pt x="80" y="45"/>
                  </a:lnTo>
                  <a:lnTo>
                    <a:pt x="84" y="43"/>
                  </a:lnTo>
                  <a:lnTo>
                    <a:pt x="86" y="43"/>
                  </a:lnTo>
                  <a:lnTo>
                    <a:pt x="89" y="47"/>
                  </a:lnTo>
                  <a:lnTo>
                    <a:pt x="92" y="48"/>
                  </a:lnTo>
                  <a:lnTo>
                    <a:pt x="99" y="46"/>
                  </a:lnTo>
                  <a:lnTo>
                    <a:pt x="106" y="53"/>
                  </a:lnTo>
                  <a:lnTo>
                    <a:pt x="110" y="56"/>
                  </a:lnTo>
                  <a:lnTo>
                    <a:pt x="114" y="59"/>
                  </a:lnTo>
                  <a:close/>
                </a:path>
              </a:pathLst>
            </a:custGeom>
            <a:solidFill>
              <a:srgbClr val="1A2232"/>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26" name="Freeform 10">
              <a:extLst>
                <a:ext uri="{FF2B5EF4-FFF2-40B4-BE49-F238E27FC236}">
                  <a16:creationId xmlns:a16="http://schemas.microsoft.com/office/drawing/2014/main" id="{00000000-0008-0000-0900-0000167E1200}"/>
                </a:ext>
              </a:extLst>
            </xdr:cNvPr>
            <xdr:cNvSpPr>
              <a:spLocks noChangeAspect="1"/>
            </xdr:cNvSpPr>
          </xdr:nvSpPr>
          <xdr:spPr bwMode="auto">
            <a:xfrm rot="238154">
              <a:off x="1826" y="2840"/>
              <a:ext cx="213" cy="111"/>
            </a:xfrm>
            <a:custGeom>
              <a:avLst/>
              <a:gdLst>
                <a:gd name="T0" fmla="*/ 1464 w 171"/>
                <a:gd name="T1" fmla="*/ 686 h 90"/>
                <a:gd name="T2" fmla="*/ 1384 w 171"/>
                <a:gd name="T3" fmla="*/ 673 h 90"/>
                <a:gd name="T4" fmla="*/ 1305 w 171"/>
                <a:gd name="T5" fmla="*/ 708 h 90"/>
                <a:gd name="T6" fmla="*/ 1158 w 171"/>
                <a:gd name="T7" fmla="*/ 733 h 90"/>
                <a:gd name="T8" fmla="*/ 1095 w 171"/>
                <a:gd name="T9" fmla="*/ 673 h 90"/>
                <a:gd name="T10" fmla="*/ 1064 w 171"/>
                <a:gd name="T11" fmla="*/ 673 h 90"/>
                <a:gd name="T12" fmla="*/ 1038 w 171"/>
                <a:gd name="T13" fmla="*/ 693 h 90"/>
                <a:gd name="T14" fmla="*/ 990 w 171"/>
                <a:gd name="T15" fmla="*/ 708 h 90"/>
                <a:gd name="T16" fmla="*/ 923 w 171"/>
                <a:gd name="T17" fmla="*/ 722 h 90"/>
                <a:gd name="T18" fmla="*/ 879 w 171"/>
                <a:gd name="T19" fmla="*/ 660 h 90"/>
                <a:gd name="T20" fmla="*/ 833 w 171"/>
                <a:gd name="T21" fmla="*/ 634 h 90"/>
                <a:gd name="T22" fmla="*/ 684 w 171"/>
                <a:gd name="T23" fmla="*/ 598 h 90"/>
                <a:gd name="T24" fmla="*/ 582 w 171"/>
                <a:gd name="T25" fmla="*/ 572 h 90"/>
                <a:gd name="T26" fmla="*/ 411 w 171"/>
                <a:gd name="T27" fmla="*/ 594 h 90"/>
                <a:gd name="T28" fmla="*/ 301 w 171"/>
                <a:gd name="T29" fmla="*/ 592 h 90"/>
                <a:gd name="T30" fmla="*/ 228 w 171"/>
                <a:gd name="T31" fmla="*/ 592 h 90"/>
                <a:gd name="T32" fmla="*/ 149 w 171"/>
                <a:gd name="T33" fmla="*/ 562 h 90"/>
                <a:gd name="T34" fmla="*/ 110 w 171"/>
                <a:gd name="T35" fmla="*/ 514 h 90"/>
                <a:gd name="T36" fmla="*/ 32 w 171"/>
                <a:gd name="T37" fmla="*/ 514 h 90"/>
                <a:gd name="T38" fmla="*/ 2 w 171"/>
                <a:gd name="T39" fmla="*/ 428 h 90"/>
                <a:gd name="T40" fmla="*/ 26 w 171"/>
                <a:gd name="T41" fmla="*/ 417 h 90"/>
                <a:gd name="T42" fmla="*/ 96 w 171"/>
                <a:gd name="T43" fmla="*/ 370 h 90"/>
                <a:gd name="T44" fmla="*/ 209 w 171"/>
                <a:gd name="T45" fmla="*/ 347 h 90"/>
                <a:gd name="T46" fmla="*/ 400 w 171"/>
                <a:gd name="T47" fmla="*/ 208 h 90"/>
                <a:gd name="T48" fmla="*/ 431 w 171"/>
                <a:gd name="T49" fmla="*/ 169 h 90"/>
                <a:gd name="T50" fmla="*/ 503 w 171"/>
                <a:gd name="T51" fmla="*/ 168 h 90"/>
                <a:gd name="T52" fmla="*/ 528 w 171"/>
                <a:gd name="T53" fmla="*/ 39 h 90"/>
                <a:gd name="T54" fmla="*/ 627 w 171"/>
                <a:gd name="T55" fmla="*/ 0 h 90"/>
                <a:gd name="T56" fmla="*/ 772 w 171"/>
                <a:gd name="T57" fmla="*/ 80 h 90"/>
                <a:gd name="T58" fmla="*/ 851 w 171"/>
                <a:gd name="T59" fmla="*/ 59 h 90"/>
                <a:gd name="T60" fmla="*/ 912 w 171"/>
                <a:gd name="T61" fmla="*/ 80 h 90"/>
                <a:gd name="T62" fmla="*/ 1064 w 171"/>
                <a:gd name="T63" fmla="*/ 146 h 90"/>
                <a:gd name="T64" fmla="*/ 1198 w 171"/>
                <a:gd name="T65" fmla="*/ 122 h 90"/>
                <a:gd name="T66" fmla="*/ 1274 w 171"/>
                <a:gd name="T67" fmla="*/ 146 h 90"/>
                <a:gd name="T68" fmla="*/ 1305 w 171"/>
                <a:gd name="T69" fmla="*/ 207 h 90"/>
                <a:gd name="T70" fmla="*/ 1325 w 171"/>
                <a:gd name="T71" fmla="*/ 255 h 90"/>
                <a:gd name="T72" fmla="*/ 1379 w 171"/>
                <a:gd name="T73" fmla="*/ 281 h 90"/>
                <a:gd name="T74" fmla="*/ 1432 w 171"/>
                <a:gd name="T75" fmla="*/ 391 h 90"/>
                <a:gd name="T76" fmla="*/ 1464 w 171"/>
                <a:gd name="T77" fmla="*/ 456 h 90"/>
                <a:gd name="T78" fmla="*/ 1527 w 171"/>
                <a:gd name="T79" fmla="*/ 585 h 90"/>
                <a:gd name="T80" fmla="*/ 1536 w 171"/>
                <a:gd name="T81" fmla="*/ 660 h 90"/>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0" t="0" r="r" b="b"/>
              <a:pathLst>
                <a:path w="171" h="90">
                  <a:moveTo>
                    <a:pt x="167" y="85"/>
                  </a:moveTo>
                  <a:lnTo>
                    <a:pt x="163" y="84"/>
                  </a:lnTo>
                  <a:lnTo>
                    <a:pt x="157" y="83"/>
                  </a:lnTo>
                  <a:lnTo>
                    <a:pt x="154" y="83"/>
                  </a:lnTo>
                  <a:lnTo>
                    <a:pt x="152" y="86"/>
                  </a:lnTo>
                  <a:lnTo>
                    <a:pt x="145" y="87"/>
                  </a:lnTo>
                  <a:lnTo>
                    <a:pt x="139" y="84"/>
                  </a:lnTo>
                  <a:lnTo>
                    <a:pt x="129" y="90"/>
                  </a:lnTo>
                  <a:lnTo>
                    <a:pt x="122" y="88"/>
                  </a:lnTo>
                  <a:lnTo>
                    <a:pt x="122" y="83"/>
                  </a:lnTo>
                  <a:lnTo>
                    <a:pt x="121" y="81"/>
                  </a:lnTo>
                  <a:lnTo>
                    <a:pt x="119" y="83"/>
                  </a:lnTo>
                  <a:lnTo>
                    <a:pt x="117" y="84"/>
                  </a:lnTo>
                  <a:lnTo>
                    <a:pt x="116" y="85"/>
                  </a:lnTo>
                  <a:lnTo>
                    <a:pt x="115" y="87"/>
                  </a:lnTo>
                  <a:lnTo>
                    <a:pt x="110" y="87"/>
                  </a:lnTo>
                  <a:lnTo>
                    <a:pt x="107" y="88"/>
                  </a:lnTo>
                  <a:lnTo>
                    <a:pt x="103" y="88"/>
                  </a:lnTo>
                  <a:lnTo>
                    <a:pt x="100" y="84"/>
                  </a:lnTo>
                  <a:lnTo>
                    <a:pt x="98" y="81"/>
                  </a:lnTo>
                  <a:lnTo>
                    <a:pt x="94" y="80"/>
                  </a:lnTo>
                  <a:lnTo>
                    <a:pt x="93" y="78"/>
                  </a:lnTo>
                  <a:lnTo>
                    <a:pt x="84" y="78"/>
                  </a:lnTo>
                  <a:lnTo>
                    <a:pt x="76" y="74"/>
                  </a:lnTo>
                  <a:lnTo>
                    <a:pt x="67" y="75"/>
                  </a:lnTo>
                  <a:lnTo>
                    <a:pt x="64" y="70"/>
                  </a:lnTo>
                  <a:lnTo>
                    <a:pt x="58" y="68"/>
                  </a:lnTo>
                  <a:lnTo>
                    <a:pt x="46" y="73"/>
                  </a:lnTo>
                  <a:lnTo>
                    <a:pt x="36" y="72"/>
                  </a:lnTo>
                  <a:lnTo>
                    <a:pt x="33" y="72"/>
                  </a:lnTo>
                  <a:lnTo>
                    <a:pt x="29" y="72"/>
                  </a:lnTo>
                  <a:lnTo>
                    <a:pt x="25" y="72"/>
                  </a:lnTo>
                  <a:lnTo>
                    <a:pt x="21" y="71"/>
                  </a:lnTo>
                  <a:lnTo>
                    <a:pt x="17" y="69"/>
                  </a:lnTo>
                  <a:lnTo>
                    <a:pt x="14" y="65"/>
                  </a:lnTo>
                  <a:lnTo>
                    <a:pt x="12" y="63"/>
                  </a:lnTo>
                  <a:lnTo>
                    <a:pt x="8" y="62"/>
                  </a:lnTo>
                  <a:lnTo>
                    <a:pt x="4" y="63"/>
                  </a:lnTo>
                  <a:lnTo>
                    <a:pt x="3" y="59"/>
                  </a:lnTo>
                  <a:lnTo>
                    <a:pt x="2" y="53"/>
                  </a:lnTo>
                  <a:lnTo>
                    <a:pt x="0" y="49"/>
                  </a:lnTo>
                  <a:lnTo>
                    <a:pt x="3" y="51"/>
                  </a:lnTo>
                  <a:lnTo>
                    <a:pt x="7" y="49"/>
                  </a:lnTo>
                  <a:lnTo>
                    <a:pt x="11" y="45"/>
                  </a:lnTo>
                  <a:lnTo>
                    <a:pt x="15" y="44"/>
                  </a:lnTo>
                  <a:lnTo>
                    <a:pt x="23" y="43"/>
                  </a:lnTo>
                  <a:lnTo>
                    <a:pt x="31" y="32"/>
                  </a:lnTo>
                  <a:lnTo>
                    <a:pt x="44" y="26"/>
                  </a:lnTo>
                  <a:lnTo>
                    <a:pt x="47" y="24"/>
                  </a:lnTo>
                  <a:lnTo>
                    <a:pt x="48" y="21"/>
                  </a:lnTo>
                  <a:lnTo>
                    <a:pt x="54" y="22"/>
                  </a:lnTo>
                  <a:lnTo>
                    <a:pt x="56" y="20"/>
                  </a:lnTo>
                  <a:lnTo>
                    <a:pt x="57" y="9"/>
                  </a:lnTo>
                  <a:lnTo>
                    <a:pt x="59" y="5"/>
                  </a:lnTo>
                  <a:lnTo>
                    <a:pt x="65" y="1"/>
                  </a:lnTo>
                  <a:lnTo>
                    <a:pt x="70" y="0"/>
                  </a:lnTo>
                  <a:lnTo>
                    <a:pt x="77" y="4"/>
                  </a:lnTo>
                  <a:lnTo>
                    <a:pt x="86" y="10"/>
                  </a:lnTo>
                  <a:lnTo>
                    <a:pt x="90" y="10"/>
                  </a:lnTo>
                  <a:lnTo>
                    <a:pt x="94" y="7"/>
                  </a:lnTo>
                  <a:lnTo>
                    <a:pt x="97" y="7"/>
                  </a:lnTo>
                  <a:lnTo>
                    <a:pt x="101" y="10"/>
                  </a:lnTo>
                  <a:lnTo>
                    <a:pt x="113" y="19"/>
                  </a:lnTo>
                  <a:lnTo>
                    <a:pt x="119" y="18"/>
                  </a:lnTo>
                  <a:lnTo>
                    <a:pt x="124" y="16"/>
                  </a:lnTo>
                  <a:lnTo>
                    <a:pt x="133" y="15"/>
                  </a:lnTo>
                  <a:lnTo>
                    <a:pt x="142" y="12"/>
                  </a:lnTo>
                  <a:lnTo>
                    <a:pt x="142" y="18"/>
                  </a:lnTo>
                  <a:lnTo>
                    <a:pt x="143" y="21"/>
                  </a:lnTo>
                  <a:lnTo>
                    <a:pt x="145" y="25"/>
                  </a:lnTo>
                  <a:lnTo>
                    <a:pt x="147" y="28"/>
                  </a:lnTo>
                  <a:lnTo>
                    <a:pt x="148" y="31"/>
                  </a:lnTo>
                  <a:lnTo>
                    <a:pt x="149" y="32"/>
                  </a:lnTo>
                  <a:lnTo>
                    <a:pt x="153" y="35"/>
                  </a:lnTo>
                  <a:lnTo>
                    <a:pt x="157" y="36"/>
                  </a:lnTo>
                  <a:lnTo>
                    <a:pt x="159" y="48"/>
                  </a:lnTo>
                  <a:lnTo>
                    <a:pt x="162" y="51"/>
                  </a:lnTo>
                  <a:lnTo>
                    <a:pt x="163" y="56"/>
                  </a:lnTo>
                  <a:lnTo>
                    <a:pt x="166" y="63"/>
                  </a:lnTo>
                  <a:lnTo>
                    <a:pt x="169" y="71"/>
                  </a:lnTo>
                  <a:lnTo>
                    <a:pt x="171" y="77"/>
                  </a:lnTo>
                  <a:lnTo>
                    <a:pt x="171" y="81"/>
                  </a:lnTo>
                  <a:lnTo>
                    <a:pt x="167" y="85"/>
                  </a:lnTo>
                  <a:close/>
                </a:path>
              </a:pathLst>
            </a:custGeom>
            <a:solidFill>
              <a:srgbClr val="1A2232"/>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27" name="Freeform 11">
              <a:extLst>
                <a:ext uri="{FF2B5EF4-FFF2-40B4-BE49-F238E27FC236}">
                  <a16:creationId xmlns:a16="http://schemas.microsoft.com/office/drawing/2014/main" id="{00000000-0008-0000-0900-0000177E1200}"/>
                </a:ext>
              </a:extLst>
            </xdr:cNvPr>
            <xdr:cNvSpPr>
              <a:spLocks noChangeAspect="1"/>
            </xdr:cNvSpPr>
          </xdr:nvSpPr>
          <xdr:spPr bwMode="auto">
            <a:xfrm rot="238154">
              <a:off x="2001" y="2894"/>
              <a:ext cx="206" cy="254"/>
            </a:xfrm>
            <a:custGeom>
              <a:avLst/>
              <a:gdLst>
                <a:gd name="T0" fmla="*/ 180 w 167"/>
                <a:gd name="T1" fmla="*/ 602 h 205"/>
                <a:gd name="T2" fmla="*/ 207 w 167"/>
                <a:gd name="T3" fmla="*/ 528 h 205"/>
                <a:gd name="T4" fmla="*/ 168 w 167"/>
                <a:gd name="T5" fmla="*/ 426 h 205"/>
                <a:gd name="T6" fmla="*/ 200 w 167"/>
                <a:gd name="T7" fmla="*/ 353 h 205"/>
                <a:gd name="T8" fmla="*/ 150 w 167"/>
                <a:gd name="T9" fmla="*/ 239 h 205"/>
                <a:gd name="T10" fmla="*/ 122 w 167"/>
                <a:gd name="T11" fmla="*/ 136 h 205"/>
                <a:gd name="T12" fmla="*/ 80 w 167"/>
                <a:gd name="T13" fmla="*/ 1 h 205"/>
                <a:gd name="T14" fmla="*/ 150 w 167"/>
                <a:gd name="T15" fmla="*/ 62 h 205"/>
                <a:gd name="T16" fmla="*/ 236 w 167"/>
                <a:gd name="T17" fmla="*/ 181 h 205"/>
                <a:gd name="T18" fmla="*/ 338 w 167"/>
                <a:gd name="T19" fmla="*/ 256 h 205"/>
                <a:gd name="T20" fmla="*/ 417 w 167"/>
                <a:gd name="T21" fmla="*/ 327 h 205"/>
                <a:gd name="T22" fmla="*/ 482 w 167"/>
                <a:gd name="T23" fmla="*/ 353 h 205"/>
                <a:gd name="T24" fmla="*/ 546 w 167"/>
                <a:gd name="T25" fmla="*/ 353 h 205"/>
                <a:gd name="T26" fmla="*/ 598 w 167"/>
                <a:gd name="T27" fmla="*/ 344 h 205"/>
                <a:gd name="T28" fmla="*/ 693 w 167"/>
                <a:gd name="T29" fmla="*/ 296 h 205"/>
                <a:gd name="T30" fmla="*/ 799 w 167"/>
                <a:gd name="T31" fmla="*/ 229 h 205"/>
                <a:gd name="T32" fmla="*/ 905 w 167"/>
                <a:gd name="T33" fmla="*/ 239 h 205"/>
                <a:gd name="T34" fmla="*/ 965 w 167"/>
                <a:gd name="T35" fmla="*/ 278 h 205"/>
                <a:gd name="T36" fmla="*/ 982 w 167"/>
                <a:gd name="T37" fmla="*/ 321 h 205"/>
                <a:gd name="T38" fmla="*/ 1055 w 167"/>
                <a:gd name="T39" fmla="*/ 327 h 205"/>
                <a:gd name="T40" fmla="*/ 1177 w 167"/>
                <a:gd name="T41" fmla="*/ 352 h 205"/>
                <a:gd name="T42" fmla="*/ 1211 w 167"/>
                <a:gd name="T43" fmla="*/ 455 h 205"/>
                <a:gd name="T44" fmla="*/ 1264 w 167"/>
                <a:gd name="T45" fmla="*/ 502 h 205"/>
                <a:gd name="T46" fmla="*/ 1288 w 167"/>
                <a:gd name="T47" fmla="*/ 493 h 205"/>
                <a:gd name="T48" fmla="*/ 1357 w 167"/>
                <a:gd name="T49" fmla="*/ 493 h 205"/>
                <a:gd name="T50" fmla="*/ 1329 w 167"/>
                <a:gd name="T51" fmla="*/ 541 h 205"/>
                <a:gd name="T52" fmla="*/ 1053 w 167"/>
                <a:gd name="T53" fmla="*/ 622 h 205"/>
                <a:gd name="T54" fmla="*/ 799 w 167"/>
                <a:gd name="T55" fmla="*/ 926 h 205"/>
                <a:gd name="T56" fmla="*/ 799 w 167"/>
                <a:gd name="T57" fmla="*/ 1106 h 205"/>
                <a:gd name="T58" fmla="*/ 738 w 167"/>
                <a:gd name="T59" fmla="*/ 1363 h 205"/>
                <a:gd name="T60" fmla="*/ 598 w 167"/>
                <a:gd name="T61" fmla="*/ 1432 h 205"/>
                <a:gd name="T62" fmla="*/ 451 w 167"/>
                <a:gd name="T63" fmla="*/ 1502 h 205"/>
                <a:gd name="T64" fmla="*/ 279 w 167"/>
                <a:gd name="T65" fmla="*/ 1633 h 205"/>
                <a:gd name="T66" fmla="*/ 207 w 167"/>
                <a:gd name="T67" fmla="*/ 1746 h 205"/>
                <a:gd name="T68" fmla="*/ 59 w 167"/>
                <a:gd name="T69" fmla="*/ 1697 h 205"/>
                <a:gd name="T70" fmla="*/ 80 w 167"/>
                <a:gd name="T71" fmla="*/ 1579 h 205"/>
                <a:gd name="T72" fmla="*/ 80 w 167"/>
                <a:gd name="T73" fmla="*/ 1502 h 205"/>
                <a:gd name="T74" fmla="*/ 90 w 167"/>
                <a:gd name="T75" fmla="*/ 1322 h 205"/>
                <a:gd name="T76" fmla="*/ 137 w 167"/>
                <a:gd name="T77" fmla="*/ 1272 h 205"/>
                <a:gd name="T78" fmla="*/ 146 w 167"/>
                <a:gd name="T79" fmla="*/ 1213 h 205"/>
                <a:gd name="T80" fmla="*/ 73 w 167"/>
                <a:gd name="T81" fmla="*/ 1162 h 205"/>
                <a:gd name="T82" fmla="*/ 99 w 167"/>
                <a:gd name="T83" fmla="*/ 1100 h 205"/>
                <a:gd name="T84" fmla="*/ 185 w 167"/>
                <a:gd name="T85" fmla="*/ 997 h 205"/>
                <a:gd name="T86" fmla="*/ 344 w 167"/>
                <a:gd name="T87" fmla="*/ 844 h 205"/>
                <a:gd name="T88" fmla="*/ 428 w 167"/>
                <a:gd name="T89" fmla="*/ 746 h 205"/>
                <a:gd name="T90" fmla="*/ 291 w 167"/>
                <a:gd name="T91" fmla="*/ 622 h 205"/>
                <a:gd name="T92" fmla="*/ 200 w 167"/>
                <a:gd name="T93" fmla="*/ 644 h 205"/>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0" t="0" r="r" b="b"/>
              <a:pathLst>
                <a:path w="167" h="205">
                  <a:moveTo>
                    <a:pt x="22" y="76"/>
                  </a:moveTo>
                  <a:lnTo>
                    <a:pt x="22" y="70"/>
                  </a:lnTo>
                  <a:lnTo>
                    <a:pt x="25" y="66"/>
                  </a:lnTo>
                  <a:lnTo>
                    <a:pt x="25" y="62"/>
                  </a:lnTo>
                  <a:lnTo>
                    <a:pt x="21" y="55"/>
                  </a:lnTo>
                  <a:lnTo>
                    <a:pt x="20" y="50"/>
                  </a:lnTo>
                  <a:lnTo>
                    <a:pt x="24" y="46"/>
                  </a:lnTo>
                  <a:lnTo>
                    <a:pt x="24" y="42"/>
                  </a:lnTo>
                  <a:lnTo>
                    <a:pt x="22" y="36"/>
                  </a:lnTo>
                  <a:lnTo>
                    <a:pt x="19" y="28"/>
                  </a:lnTo>
                  <a:lnTo>
                    <a:pt x="16" y="21"/>
                  </a:lnTo>
                  <a:lnTo>
                    <a:pt x="15" y="16"/>
                  </a:lnTo>
                  <a:lnTo>
                    <a:pt x="12" y="13"/>
                  </a:lnTo>
                  <a:lnTo>
                    <a:pt x="10" y="1"/>
                  </a:lnTo>
                  <a:lnTo>
                    <a:pt x="14" y="0"/>
                  </a:lnTo>
                  <a:lnTo>
                    <a:pt x="19" y="7"/>
                  </a:lnTo>
                  <a:lnTo>
                    <a:pt x="23" y="13"/>
                  </a:lnTo>
                  <a:lnTo>
                    <a:pt x="29" y="21"/>
                  </a:lnTo>
                  <a:lnTo>
                    <a:pt x="35" y="26"/>
                  </a:lnTo>
                  <a:lnTo>
                    <a:pt x="41" y="30"/>
                  </a:lnTo>
                  <a:lnTo>
                    <a:pt x="45" y="34"/>
                  </a:lnTo>
                  <a:lnTo>
                    <a:pt x="51" y="39"/>
                  </a:lnTo>
                  <a:lnTo>
                    <a:pt x="56" y="40"/>
                  </a:lnTo>
                  <a:lnTo>
                    <a:pt x="59" y="42"/>
                  </a:lnTo>
                  <a:lnTo>
                    <a:pt x="62" y="41"/>
                  </a:lnTo>
                  <a:lnTo>
                    <a:pt x="67" y="42"/>
                  </a:lnTo>
                  <a:lnTo>
                    <a:pt x="72" y="42"/>
                  </a:lnTo>
                  <a:lnTo>
                    <a:pt x="74" y="40"/>
                  </a:lnTo>
                  <a:lnTo>
                    <a:pt x="79" y="38"/>
                  </a:lnTo>
                  <a:lnTo>
                    <a:pt x="85" y="35"/>
                  </a:lnTo>
                  <a:lnTo>
                    <a:pt x="94" y="28"/>
                  </a:lnTo>
                  <a:lnTo>
                    <a:pt x="98" y="27"/>
                  </a:lnTo>
                  <a:lnTo>
                    <a:pt x="105" y="32"/>
                  </a:lnTo>
                  <a:lnTo>
                    <a:pt x="111" y="28"/>
                  </a:lnTo>
                  <a:lnTo>
                    <a:pt x="115" y="28"/>
                  </a:lnTo>
                  <a:lnTo>
                    <a:pt x="118" y="32"/>
                  </a:lnTo>
                  <a:lnTo>
                    <a:pt x="119" y="36"/>
                  </a:lnTo>
                  <a:lnTo>
                    <a:pt x="120" y="38"/>
                  </a:lnTo>
                  <a:lnTo>
                    <a:pt x="124" y="39"/>
                  </a:lnTo>
                  <a:lnTo>
                    <a:pt x="130" y="39"/>
                  </a:lnTo>
                  <a:lnTo>
                    <a:pt x="140" y="39"/>
                  </a:lnTo>
                  <a:lnTo>
                    <a:pt x="144" y="41"/>
                  </a:lnTo>
                  <a:lnTo>
                    <a:pt x="146" y="45"/>
                  </a:lnTo>
                  <a:lnTo>
                    <a:pt x="148" y="53"/>
                  </a:lnTo>
                  <a:lnTo>
                    <a:pt x="150" y="58"/>
                  </a:lnTo>
                  <a:lnTo>
                    <a:pt x="155" y="59"/>
                  </a:lnTo>
                  <a:lnTo>
                    <a:pt x="157" y="60"/>
                  </a:lnTo>
                  <a:lnTo>
                    <a:pt x="158" y="58"/>
                  </a:lnTo>
                  <a:lnTo>
                    <a:pt x="164" y="55"/>
                  </a:lnTo>
                  <a:lnTo>
                    <a:pt x="166" y="58"/>
                  </a:lnTo>
                  <a:lnTo>
                    <a:pt x="167" y="62"/>
                  </a:lnTo>
                  <a:lnTo>
                    <a:pt x="163" y="64"/>
                  </a:lnTo>
                  <a:lnTo>
                    <a:pt x="135" y="70"/>
                  </a:lnTo>
                  <a:lnTo>
                    <a:pt x="129" y="73"/>
                  </a:lnTo>
                  <a:lnTo>
                    <a:pt x="118" y="83"/>
                  </a:lnTo>
                  <a:lnTo>
                    <a:pt x="98" y="109"/>
                  </a:lnTo>
                  <a:lnTo>
                    <a:pt x="96" y="118"/>
                  </a:lnTo>
                  <a:lnTo>
                    <a:pt x="98" y="130"/>
                  </a:lnTo>
                  <a:lnTo>
                    <a:pt x="97" y="151"/>
                  </a:lnTo>
                  <a:lnTo>
                    <a:pt x="91" y="160"/>
                  </a:lnTo>
                  <a:lnTo>
                    <a:pt x="82" y="164"/>
                  </a:lnTo>
                  <a:lnTo>
                    <a:pt x="74" y="168"/>
                  </a:lnTo>
                  <a:lnTo>
                    <a:pt x="62" y="174"/>
                  </a:lnTo>
                  <a:lnTo>
                    <a:pt x="55" y="176"/>
                  </a:lnTo>
                  <a:lnTo>
                    <a:pt x="36" y="187"/>
                  </a:lnTo>
                  <a:lnTo>
                    <a:pt x="34" y="191"/>
                  </a:lnTo>
                  <a:lnTo>
                    <a:pt x="31" y="202"/>
                  </a:lnTo>
                  <a:lnTo>
                    <a:pt x="25" y="205"/>
                  </a:lnTo>
                  <a:lnTo>
                    <a:pt x="18" y="205"/>
                  </a:lnTo>
                  <a:lnTo>
                    <a:pt x="7" y="199"/>
                  </a:lnTo>
                  <a:lnTo>
                    <a:pt x="0" y="190"/>
                  </a:lnTo>
                  <a:lnTo>
                    <a:pt x="10" y="186"/>
                  </a:lnTo>
                  <a:lnTo>
                    <a:pt x="11" y="183"/>
                  </a:lnTo>
                  <a:lnTo>
                    <a:pt x="10" y="176"/>
                  </a:lnTo>
                  <a:lnTo>
                    <a:pt x="10" y="162"/>
                  </a:lnTo>
                  <a:lnTo>
                    <a:pt x="11" y="155"/>
                  </a:lnTo>
                  <a:lnTo>
                    <a:pt x="15" y="151"/>
                  </a:lnTo>
                  <a:lnTo>
                    <a:pt x="17" y="149"/>
                  </a:lnTo>
                  <a:lnTo>
                    <a:pt x="19" y="145"/>
                  </a:lnTo>
                  <a:lnTo>
                    <a:pt x="18" y="143"/>
                  </a:lnTo>
                  <a:lnTo>
                    <a:pt x="12" y="138"/>
                  </a:lnTo>
                  <a:lnTo>
                    <a:pt x="9" y="136"/>
                  </a:lnTo>
                  <a:lnTo>
                    <a:pt x="8" y="130"/>
                  </a:lnTo>
                  <a:lnTo>
                    <a:pt x="12" y="129"/>
                  </a:lnTo>
                  <a:lnTo>
                    <a:pt x="20" y="126"/>
                  </a:lnTo>
                  <a:lnTo>
                    <a:pt x="23" y="117"/>
                  </a:lnTo>
                  <a:lnTo>
                    <a:pt x="29" y="109"/>
                  </a:lnTo>
                  <a:lnTo>
                    <a:pt x="42" y="99"/>
                  </a:lnTo>
                  <a:lnTo>
                    <a:pt x="50" y="91"/>
                  </a:lnTo>
                  <a:lnTo>
                    <a:pt x="53" y="87"/>
                  </a:lnTo>
                  <a:lnTo>
                    <a:pt x="52" y="83"/>
                  </a:lnTo>
                  <a:lnTo>
                    <a:pt x="36" y="73"/>
                  </a:lnTo>
                  <a:lnTo>
                    <a:pt x="27" y="77"/>
                  </a:lnTo>
                  <a:lnTo>
                    <a:pt x="24" y="76"/>
                  </a:lnTo>
                  <a:lnTo>
                    <a:pt x="22" y="76"/>
                  </a:lnTo>
                  <a:close/>
                </a:path>
              </a:pathLst>
            </a:custGeom>
            <a:solidFill>
              <a:srgbClr val="1A2232"/>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28" name="Freeform 12">
              <a:extLst>
                <a:ext uri="{FF2B5EF4-FFF2-40B4-BE49-F238E27FC236}">
                  <a16:creationId xmlns:a16="http://schemas.microsoft.com/office/drawing/2014/main" id="{00000000-0008-0000-0900-0000187E1200}"/>
                </a:ext>
              </a:extLst>
            </xdr:cNvPr>
            <xdr:cNvSpPr>
              <a:spLocks noChangeAspect="1"/>
            </xdr:cNvSpPr>
          </xdr:nvSpPr>
          <xdr:spPr bwMode="auto">
            <a:xfrm rot="238154">
              <a:off x="1865" y="2971"/>
              <a:ext cx="138" cy="120"/>
            </a:xfrm>
            <a:custGeom>
              <a:avLst/>
              <a:gdLst>
                <a:gd name="T0" fmla="*/ 157 w 111"/>
                <a:gd name="T1" fmla="*/ 782 h 97"/>
                <a:gd name="T2" fmla="*/ 96 w 111"/>
                <a:gd name="T3" fmla="*/ 735 h 97"/>
                <a:gd name="T4" fmla="*/ 26 w 111"/>
                <a:gd name="T5" fmla="*/ 606 h 97"/>
                <a:gd name="T6" fmla="*/ 71 w 111"/>
                <a:gd name="T7" fmla="*/ 541 h 97"/>
                <a:gd name="T8" fmla="*/ 109 w 111"/>
                <a:gd name="T9" fmla="*/ 464 h 97"/>
                <a:gd name="T10" fmla="*/ 71 w 111"/>
                <a:gd name="T11" fmla="*/ 392 h 97"/>
                <a:gd name="T12" fmla="*/ 0 w 111"/>
                <a:gd name="T13" fmla="*/ 364 h 97"/>
                <a:gd name="T14" fmla="*/ 62 w 111"/>
                <a:gd name="T15" fmla="*/ 285 h 97"/>
                <a:gd name="T16" fmla="*/ 144 w 111"/>
                <a:gd name="T17" fmla="*/ 225 h 97"/>
                <a:gd name="T18" fmla="*/ 184 w 111"/>
                <a:gd name="T19" fmla="*/ 136 h 97"/>
                <a:gd name="T20" fmla="*/ 195 w 111"/>
                <a:gd name="T21" fmla="*/ 32 h 97"/>
                <a:gd name="T22" fmla="*/ 223 w 111"/>
                <a:gd name="T23" fmla="*/ 26 h 97"/>
                <a:gd name="T24" fmla="*/ 261 w 111"/>
                <a:gd name="T25" fmla="*/ 40 h 97"/>
                <a:gd name="T26" fmla="*/ 316 w 111"/>
                <a:gd name="T27" fmla="*/ 49 h 97"/>
                <a:gd name="T28" fmla="*/ 377 w 111"/>
                <a:gd name="T29" fmla="*/ 71 h 97"/>
                <a:gd name="T30" fmla="*/ 444 w 111"/>
                <a:gd name="T31" fmla="*/ 71 h 97"/>
                <a:gd name="T32" fmla="*/ 516 w 111"/>
                <a:gd name="T33" fmla="*/ 109 h 97"/>
                <a:gd name="T34" fmla="*/ 552 w 111"/>
                <a:gd name="T35" fmla="*/ 182 h 97"/>
                <a:gd name="T36" fmla="*/ 587 w 111"/>
                <a:gd name="T37" fmla="*/ 225 h 97"/>
                <a:gd name="T38" fmla="*/ 618 w 111"/>
                <a:gd name="T39" fmla="*/ 176 h 97"/>
                <a:gd name="T40" fmla="*/ 608 w 111"/>
                <a:gd name="T41" fmla="*/ 135 h 97"/>
                <a:gd name="T42" fmla="*/ 608 w 111"/>
                <a:gd name="T43" fmla="*/ 75 h 97"/>
                <a:gd name="T44" fmla="*/ 642 w 111"/>
                <a:gd name="T45" fmla="*/ 88 h 97"/>
                <a:gd name="T46" fmla="*/ 680 w 111"/>
                <a:gd name="T47" fmla="*/ 61 h 97"/>
                <a:gd name="T48" fmla="*/ 730 w 111"/>
                <a:gd name="T49" fmla="*/ 40 h 97"/>
                <a:gd name="T50" fmla="*/ 792 w 111"/>
                <a:gd name="T51" fmla="*/ 88 h 97"/>
                <a:gd name="T52" fmla="*/ 908 w 111"/>
                <a:gd name="T53" fmla="*/ 135 h 97"/>
                <a:gd name="T54" fmla="*/ 985 w 111"/>
                <a:gd name="T55" fmla="*/ 176 h 97"/>
                <a:gd name="T56" fmla="*/ 914 w 111"/>
                <a:gd name="T57" fmla="*/ 270 h 97"/>
                <a:gd name="T58" fmla="*/ 845 w 111"/>
                <a:gd name="T59" fmla="*/ 426 h 97"/>
                <a:gd name="T60" fmla="*/ 894 w 111"/>
                <a:gd name="T61" fmla="*/ 490 h 97"/>
                <a:gd name="T62" fmla="*/ 955 w 111"/>
                <a:gd name="T63" fmla="*/ 600 h 97"/>
                <a:gd name="T64" fmla="*/ 940 w 111"/>
                <a:gd name="T65" fmla="*/ 678 h 97"/>
                <a:gd name="T66" fmla="*/ 845 w 111"/>
                <a:gd name="T67" fmla="*/ 807 h 97"/>
                <a:gd name="T68" fmla="*/ 768 w 111"/>
                <a:gd name="T69" fmla="*/ 803 h 97"/>
                <a:gd name="T70" fmla="*/ 768 w 111"/>
                <a:gd name="T71" fmla="*/ 669 h 97"/>
                <a:gd name="T72" fmla="*/ 686 w 111"/>
                <a:gd name="T73" fmla="*/ 574 h 97"/>
                <a:gd name="T74" fmla="*/ 287 w 111"/>
                <a:gd name="T75" fmla="*/ 632 h 97"/>
                <a:gd name="T76" fmla="*/ 179 w 111"/>
                <a:gd name="T77" fmla="*/ 782 h 97"/>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0" t="0" r="r" b="b"/>
              <a:pathLst>
                <a:path w="111" h="97">
                  <a:moveTo>
                    <a:pt x="20" y="93"/>
                  </a:moveTo>
                  <a:lnTo>
                    <a:pt x="18" y="93"/>
                  </a:lnTo>
                  <a:lnTo>
                    <a:pt x="15" y="91"/>
                  </a:lnTo>
                  <a:lnTo>
                    <a:pt x="11" y="87"/>
                  </a:lnTo>
                  <a:lnTo>
                    <a:pt x="5" y="77"/>
                  </a:lnTo>
                  <a:lnTo>
                    <a:pt x="3" y="73"/>
                  </a:lnTo>
                  <a:lnTo>
                    <a:pt x="5" y="69"/>
                  </a:lnTo>
                  <a:lnTo>
                    <a:pt x="8" y="64"/>
                  </a:lnTo>
                  <a:lnTo>
                    <a:pt x="11" y="59"/>
                  </a:lnTo>
                  <a:lnTo>
                    <a:pt x="12" y="55"/>
                  </a:lnTo>
                  <a:lnTo>
                    <a:pt x="11" y="50"/>
                  </a:lnTo>
                  <a:lnTo>
                    <a:pt x="8" y="46"/>
                  </a:lnTo>
                  <a:lnTo>
                    <a:pt x="4" y="44"/>
                  </a:lnTo>
                  <a:lnTo>
                    <a:pt x="0" y="43"/>
                  </a:lnTo>
                  <a:lnTo>
                    <a:pt x="3" y="37"/>
                  </a:lnTo>
                  <a:lnTo>
                    <a:pt x="7" y="34"/>
                  </a:lnTo>
                  <a:lnTo>
                    <a:pt x="11" y="31"/>
                  </a:lnTo>
                  <a:lnTo>
                    <a:pt x="16" y="27"/>
                  </a:lnTo>
                  <a:lnTo>
                    <a:pt x="20" y="21"/>
                  </a:lnTo>
                  <a:lnTo>
                    <a:pt x="21" y="16"/>
                  </a:lnTo>
                  <a:lnTo>
                    <a:pt x="22" y="10"/>
                  </a:lnTo>
                  <a:lnTo>
                    <a:pt x="22" y="4"/>
                  </a:lnTo>
                  <a:lnTo>
                    <a:pt x="22" y="0"/>
                  </a:lnTo>
                  <a:lnTo>
                    <a:pt x="25" y="3"/>
                  </a:lnTo>
                  <a:lnTo>
                    <a:pt x="27" y="4"/>
                  </a:lnTo>
                  <a:lnTo>
                    <a:pt x="30" y="5"/>
                  </a:lnTo>
                  <a:lnTo>
                    <a:pt x="32" y="5"/>
                  </a:lnTo>
                  <a:lnTo>
                    <a:pt x="35" y="6"/>
                  </a:lnTo>
                  <a:lnTo>
                    <a:pt x="39" y="8"/>
                  </a:lnTo>
                  <a:lnTo>
                    <a:pt x="43" y="8"/>
                  </a:lnTo>
                  <a:lnTo>
                    <a:pt x="48" y="7"/>
                  </a:lnTo>
                  <a:lnTo>
                    <a:pt x="51" y="8"/>
                  </a:lnTo>
                  <a:lnTo>
                    <a:pt x="55" y="9"/>
                  </a:lnTo>
                  <a:lnTo>
                    <a:pt x="59" y="12"/>
                  </a:lnTo>
                  <a:lnTo>
                    <a:pt x="61" y="17"/>
                  </a:lnTo>
                  <a:lnTo>
                    <a:pt x="63" y="22"/>
                  </a:lnTo>
                  <a:lnTo>
                    <a:pt x="64" y="25"/>
                  </a:lnTo>
                  <a:lnTo>
                    <a:pt x="67" y="27"/>
                  </a:lnTo>
                  <a:lnTo>
                    <a:pt x="68" y="25"/>
                  </a:lnTo>
                  <a:lnTo>
                    <a:pt x="70" y="21"/>
                  </a:lnTo>
                  <a:lnTo>
                    <a:pt x="70" y="19"/>
                  </a:lnTo>
                  <a:lnTo>
                    <a:pt x="68" y="15"/>
                  </a:lnTo>
                  <a:lnTo>
                    <a:pt x="67" y="11"/>
                  </a:lnTo>
                  <a:lnTo>
                    <a:pt x="68" y="9"/>
                  </a:lnTo>
                  <a:lnTo>
                    <a:pt x="69" y="8"/>
                  </a:lnTo>
                  <a:lnTo>
                    <a:pt x="73" y="10"/>
                  </a:lnTo>
                  <a:lnTo>
                    <a:pt x="74" y="8"/>
                  </a:lnTo>
                  <a:lnTo>
                    <a:pt x="77" y="7"/>
                  </a:lnTo>
                  <a:lnTo>
                    <a:pt x="81" y="5"/>
                  </a:lnTo>
                  <a:lnTo>
                    <a:pt x="83" y="5"/>
                  </a:lnTo>
                  <a:lnTo>
                    <a:pt x="86" y="9"/>
                  </a:lnTo>
                  <a:lnTo>
                    <a:pt x="89" y="10"/>
                  </a:lnTo>
                  <a:lnTo>
                    <a:pt x="96" y="8"/>
                  </a:lnTo>
                  <a:lnTo>
                    <a:pt x="103" y="15"/>
                  </a:lnTo>
                  <a:lnTo>
                    <a:pt x="107" y="18"/>
                  </a:lnTo>
                  <a:lnTo>
                    <a:pt x="111" y="21"/>
                  </a:lnTo>
                  <a:lnTo>
                    <a:pt x="111" y="22"/>
                  </a:lnTo>
                  <a:lnTo>
                    <a:pt x="104" y="32"/>
                  </a:lnTo>
                  <a:lnTo>
                    <a:pt x="98" y="42"/>
                  </a:lnTo>
                  <a:lnTo>
                    <a:pt x="96" y="51"/>
                  </a:lnTo>
                  <a:lnTo>
                    <a:pt x="97" y="54"/>
                  </a:lnTo>
                  <a:lnTo>
                    <a:pt x="101" y="59"/>
                  </a:lnTo>
                  <a:lnTo>
                    <a:pt x="107" y="68"/>
                  </a:lnTo>
                  <a:lnTo>
                    <a:pt x="108" y="71"/>
                  </a:lnTo>
                  <a:lnTo>
                    <a:pt x="109" y="75"/>
                  </a:lnTo>
                  <a:lnTo>
                    <a:pt x="106" y="81"/>
                  </a:lnTo>
                  <a:lnTo>
                    <a:pt x="101" y="91"/>
                  </a:lnTo>
                  <a:lnTo>
                    <a:pt x="96" y="96"/>
                  </a:lnTo>
                  <a:lnTo>
                    <a:pt x="91" y="97"/>
                  </a:lnTo>
                  <a:lnTo>
                    <a:pt x="87" y="95"/>
                  </a:lnTo>
                  <a:lnTo>
                    <a:pt x="86" y="90"/>
                  </a:lnTo>
                  <a:lnTo>
                    <a:pt x="87" y="79"/>
                  </a:lnTo>
                  <a:lnTo>
                    <a:pt x="84" y="72"/>
                  </a:lnTo>
                  <a:lnTo>
                    <a:pt x="78" y="68"/>
                  </a:lnTo>
                  <a:lnTo>
                    <a:pt x="72" y="68"/>
                  </a:lnTo>
                  <a:lnTo>
                    <a:pt x="33" y="75"/>
                  </a:lnTo>
                  <a:lnTo>
                    <a:pt x="26" y="82"/>
                  </a:lnTo>
                  <a:lnTo>
                    <a:pt x="20" y="93"/>
                  </a:lnTo>
                  <a:close/>
                </a:path>
              </a:pathLst>
            </a:custGeom>
            <a:solidFill>
              <a:srgbClr val="1A2232"/>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29" name="Freeform 13">
              <a:extLst>
                <a:ext uri="{FF2B5EF4-FFF2-40B4-BE49-F238E27FC236}">
                  <a16:creationId xmlns:a16="http://schemas.microsoft.com/office/drawing/2014/main" id="{00000000-0008-0000-0900-0000197E1200}"/>
                </a:ext>
              </a:extLst>
            </xdr:cNvPr>
            <xdr:cNvSpPr>
              <a:spLocks noChangeAspect="1"/>
            </xdr:cNvSpPr>
          </xdr:nvSpPr>
          <xdr:spPr bwMode="auto">
            <a:xfrm rot="238154">
              <a:off x="1736" y="2897"/>
              <a:ext cx="161" cy="170"/>
            </a:xfrm>
            <a:custGeom>
              <a:avLst/>
              <a:gdLst>
                <a:gd name="T0" fmla="*/ 898 w 130"/>
                <a:gd name="T1" fmla="*/ 846 h 137"/>
                <a:gd name="T2" fmla="*/ 830 w 130"/>
                <a:gd name="T3" fmla="*/ 867 h 137"/>
                <a:gd name="T4" fmla="*/ 759 w 130"/>
                <a:gd name="T5" fmla="*/ 888 h 137"/>
                <a:gd name="T6" fmla="*/ 698 w 130"/>
                <a:gd name="T7" fmla="*/ 906 h 137"/>
                <a:gd name="T8" fmla="*/ 599 w 130"/>
                <a:gd name="T9" fmla="*/ 926 h 137"/>
                <a:gd name="T10" fmla="*/ 564 w 130"/>
                <a:gd name="T11" fmla="*/ 888 h 137"/>
                <a:gd name="T12" fmla="*/ 540 w 130"/>
                <a:gd name="T13" fmla="*/ 846 h 137"/>
                <a:gd name="T14" fmla="*/ 490 w 130"/>
                <a:gd name="T15" fmla="*/ 839 h 137"/>
                <a:gd name="T16" fmla="*/ 468 w 130"/>
                <a:gd name="T17" fmla="*/ 788 h 137"/>
                <a:gd name="T18" fmla="*/ 437 w 130"/>
                <a:gd name="T19" fmla="*/ 792 h 137"/>
                <a:gd name="T20" fmla="*/ 396 w 130"/>
                <a:gd name="T21" fmla="*/ 864 h 137"/>
                <a:gd name="T22" fmla="*/ 378 w 130"/>
                <a:gd name="T23" fmla="*/ 960 h 137"/>
                <a:gd name="T24" fmla="*/ 374 w 130"/>
                <a:gd name="T25" fmla="*/ 1050 h 137"/>
                <a:gd name="T26" fmla="*/ 296 w 130"/>
                <a:gd name="T27" fmla="*/ 1184 h 137"/>
                <a:gd name="T28" fmla="*/ 229 w 130"/>
                <a:gd name="T29" fmla="*/ 1135 h 137"/>
                <a:gd name="T30" fmla="*/ 207 w 130"/>
                <a:gd name="T31" fmla="*/ 1034 h 137"/>
                <a:gd name="T32" fmla="*/ 168 w 130"/>
                <a:gd name="T33" fmla="*/ 960 h 137"/>
                <a:gd name="T34" fmla="*/ 95 w 130"/>
                <a:gd name="T35" fmla="*/ 926 h 137"/>
                <a:gd name="T36" fmla="*/ 110 w 130"/>
                <a:gd name="T37" fmla="*/ 792 h 137"/>
                <a:gd name="T38" fmla="*/ 135 w 130"/>
                <a:gd name="T39" fmla="*/ 682 h 137"/>
                <a:gd name="T40" fmla="*/ 110 w 130"/>
                <a:gd name="T41" fmla="*/ 550 h 137"/>
                <a:gd name="T42" fmla="*/ 88 w 130"/>
                <a:gd name="T43" fmla="*/ 454 h 137"/>
                <a:gd name="T44" fmla="*/ 40 w 130"/>
                <a:gd name="T45" fmla="*/ 391 h 137"/>
                <a:gd name="T46" fmla="*/ 0 w 130"/>
                <a:gd name="T47" fmla="*/ 351 h 137"/>
                <a:gd name="T48" fmla="*/ 32 w 130"/>
                <a:gd name="T49" fmla="*/ 283 h 137"/>
                <a:gd name="T50" fmla="*/ 109 w 130"/>
                <a:gd name="T51" fmla="*/ 62 h 137"/>
                <a:gd name="T52" fmla="*/ 181 w 130"/>
                <a:gd name="T53" fmla="*/ 71 h 137"/>
                <a:gd name="T54" fmla="*/ 229 w 130"/>
                <a:gd name="T55" fmla="*/ 0 h 137"/>
                <a:gd name="T56" fmla="*/ 305 w 130"/>
                <a:gd name="T57" fmla="*/ 40 h 137"/>
                <a:gd name="T58" fmla="*/ 417 w 130"/>
                <a:gd name="T59" fmla="*/ 77 h 137"/>
                <a:gd name="T60" fmla="*/ 455 w 130"/>
                <a:gd name="T61" fmla="*/ 119 h 137"/>
                <a:gd name="T62" fmla="*/ 541 w 130"/>
                <a:gd name="T63" fmla="*/ 109 h 137"/>
                <a:gd name="T64" fmla="*/ 607 w 130"/>
                <a:gd name="T65" fmla="*/ 50 h 137"/>
                <a:gd name="T66" fmla="*/ 651 w 130"/>
                <a:gd name="T67" fmla="*/ 77 h 137"/>
                <a:gd name="T68" fmla="*/ 710 w 130"/>
                <a:gd name="T69" fmla="*/ 109 h 137"/>
                <a:gd name="T70" fmla="*/ 759 w 130"/>
                <a:gd name="T71" fmla="*/ 155 h 137"/>
                <a:gd name="T72" fmla="*/ 830 w 130"/>
                <a:gd name="T73" fmla="*/ 168 h 137"/>
                <a:gd name="T74" fmla="*/ 889 w 130"/>
                <a:gd name="T75" fmla="*/ 168 h 137"/>
                <a:gd name="T76" fmla="*/ 956 w 130"/>
                <a:gd name="T77" fmla="*/ 334 h 137"/>
                <a:gd name="T78" fmla="*/ 1101 w 130"/>
                <a:gd name="T79" fmla="*/ 465 h 137"/>
                <a:gd name="T80" fmla="*/ 1101 w 130"/>
                <a:gd name="T81" fmla="*/ 545 h 137"/>
                <a:gd name="T82" fmla="*/ 1089 w 130"/>
                <a:gd name="T83" fmla="*/ 638 h 137"/>
                <a:gd name="T84" fmla="*/ 1009 w 130"/>
                <a:gd name="T85" fmla="*/ 727 h 137"/>
                <a:gd name="T86" fmla="*/ 940 w 130"/>
                <a:gd name="T87" fmla="*/ 778 h 137"/>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0" t="0" r="r" b="b"/>
              <a:pathLst>
                <a:path w="130" h="137">
                  <a:moveTo>
                    <a:pt x="108" y="96"/>
                  </a:moveTo>
                  <a:lnTo>
                    <a:pt x="106" y="98"/>
                  </a:lnTo>
                  <a:lnTo>
                    <a:pt x="102" y="101"/>
                  </a:lnTo>
                  <a:lnTo>
                    <a:pt x="98" y="101"/>
                  </a:lnTo>
                  <a:lnTo>
                    <a:pt x="94" y="101"/>
                  </a:lnTo>
                  <a:lnTo>
                    <a:pt x="90" y="102"/>
                  </a:lnTo>
                  <a:lnTo>
                    <a:pt x="84" y="105"/>
                  </a:lnTo>
                  <a:lnTo>
                    <a:pt x="82" y="105"/>
                  </a:lnTo>
                  <a:lnTo>
                    <a:pt x="77" y="106"/>
                  </a:lnTo>
                  <a:lnTo>
                    <a:pt x="70" y="106"/>
                  </a:lnTo>
                  <a:lnTo>
                    <a:pt x="67" y="105"/>
                  </a:lnTo>
                  <a:lnTo>
                    <a:pt x="66" y="102"/>
                  </a:lnTo>
                  <a:lnTo>
                    <a:pt x="65" y="99"/>
                  </a:lnTo>
                  <a:lnTo>
                    <a:pt x="63" y="98"/>
                  </a:lnTo>
                  <a:lnTo>
                    <a:pt x="59" y="98"/>
                  </a:lnTo>
                  <a:lnTo>
                    <a:pt x="58" y="97"/>
                  </a:lnTo>
                  <a:lnTo>
                    <a:pt x="56" y="94"/>
                  </a:lnTo>
                  <a:lnTo>
                    <a:pt x="56" y="91"/>
                  </a:lnTo>
                  <a:lnTo>
                    <a:pt x="54" y="91"/>
                  </a:lnTo>
                  <a:lnTo>
                    <a:pt x="52" y="92"/>
                  </a:lnTo>
                  <a:lnTo>
                    <a:pt x="50" y="95"/>
                  </a:lnTo>
                  <a:lnTo>
                    <a:pt x="47" y="99"/>
                  </a:lnTo>
                  <a:lnTo>
                    <a:pt x="45" y="104"/>
                  </a:lnTo>
                  <a:lnTo>
                    <a:pt x="45" y="111"/>
                  </a:lnTo>
                  <a:lnTo>
                    <a:pt x="45" y="116"/>
                  </a:lnTo>
                  <a:lnTo>
                    <a:pt x="44" y="122"/>
                  </a:lnTo>
                  <a:lnTo>
                    <a:pt x="38" y="135"/>
                  </a:lnTo>
                  <a:lnTo>
                    <a:pt x="35" y="137"/>
                  </a:lnTo>
                  <a:lnTo>
                    <a:pt x="30" y="135"/>
                  </a:lnTo>
                  <a:lnTo>
                    <a:pt x="27" y="131"/>
                  </a:lnTo>
                  <a:lnTo>
                    <a:pt x="26" y="126"/>
                  </a:lnTo>
                  <a:lnTo>
                    <a:pt x="24" y="119"/>
                  </a:lnTo>
                  <a:lnTo>
                    <a:pt x="23" y="113"/>
                  </a:lnTo>
                  <a:lnTo>
                    <a:pt x="20" y="111"/>
                  </a:lnTo>
                  <a:lnTo>
                    <a:pt x="15" y="111"/>
                  </a:lnTo>
                  <a:lnTo>
                    <a:pt x="11" y="106"/>
                  </a:lnTo>
                  <a:lnTo>
                    <a:pt x="11" y="96"/>
                  </a:lnTo>
                  <a:lnTo>
                    <a:pt x="13" y="92"/>
                  </a:lnTo>
                  <a:lnTo>
                    <a:pt x="14" y="86"/>
                  </a:lnTo>
                  <a:lnTo>
                    <a:pt x="15" y="79"/>
                  </a:lnTo>
                  <a:lnTo>
                    <a:pt x="14" y="69"/>
                  </a:lnTo>
                  <a:lnTo>
                    <a:pt x="13" y="64"/>
                  </a:lnTo>
                  <a:lnTo>
                    <a:pt x="13" y="58"/>
                  </a:lnTo>
                  <a:lnTo>
                    <a:pt x="10" y="52"/>
                  </a:lnTo>
                  <a:lnTo>
                    <a:pt x="8" y="47"/>
                  </a:lnTo>
                  <a:lnTo>
                    <a:pt x="5" y="45"/>
                  </a:lnTo>
                  <a:lnTo>
                    <a:pt x="1" y="42"/>
                  </a:lnTo>
                  <a:lnTo>
                    <a:pt x="0" y="40"/>
                  </a:lnTo>
                  <a:lnTo>
                    <a:pt x="2" y="36"/>
                  </a:lnTo>
                  <a:lnTo>
                    <a:pt x="4" y="32"/>
                  </a:lnTo>
                  <a:lnTo>
                    <a:pt x="3" y="24"/>
                  </a:lnTo>
                  <a:lnTo>
                    <a:pt x="12" y="7"/>
                  </a:lnTo>
                  <a:lnTo>
                    <a:pt x="17" y="8"/>
                  </a:lnTo>
                  <a:lnTo>
                    <a:pt x="21" y="8"/>
                  </a:lnTo>
                  <a:lnTo>
                    <a:pt x="23" y="5"/>
                  </a:lnTo>
                  <a:lnTo>
                    <a:pt x="27" y="0"/>
                  </a:lnTo>
                  <a:lnTo>
                    <a:pt x="35" y="1"/>
                  </a:lnTo>
                  <a:lnTo>
                    <a:pt x="36" y="5"/>
                  </a:lnTo>
                  <a:lnTo>
                    <a:pt x="41" y="11"/>
                  </a:lnTo>
                  <a:lnTo>
                    <a:pt x="49" y="9"/>
                  </a:lnTo>
                  <a:lnTo>
                    <a:pt x="53" y="11"/>
                  </a:lnTo>
                  <a:lnTo>
                    <a:pt x="53" y="14"/>
                  </a:lnTo>
                  <a:lnTo>
                    <a:pt x="62" y="17"/>
                  </a:lnTo>
                  <a:lnTo>
                    <a:pt x="64" y="12"/>
                  </a:lnTo>
                  <a:lnTo>
                    <a:pt x="70" y="11"/>
                  </a:lnTo>
                  <a:lnTo>
                    <a:pt x="72" y="6"/>
                  </a:lnTo>
                  <a:lnTo>
                    <a:pt x="73" y="10"/>
                  </a:lnTo>
                  <a:lnTo>
                    <a:pt x="77" y="9"/>
                  </a:lnTo>
                  <a:lnTo>
                    <a:pt x="81" y="10"/>
                  </a:lnTo>
                  <a:lnTo>
                    <a:pt x="83" y="12"/>
                  </a:lnTo>
                  <a:lnTo>
                    <a:pt x="86" y="16"/>
                  </a:lnTo>
                  <a:lnTo>
                    <a:pt x="90" y="18"/>
                  </a:lnTo>
                  <a:lnTo>
                    <a:pt x="94" y="19"/>
                  </a:lnTo>
                  <a:lnTo>
                    <a:pt x="98" y="19"/>
                  </a:lnTo>
                  <a:lnTo>
                    <a:pt x="102" y="19"/>
                  </a:lnTo>
                  <a:lnTo>
                    <a:pt x="105" y="19"/>
                  </a:lnTo>
                  <a:lnTo>
                    <a:pt x="110" y="27"/>
                  </a:lnTo>
                  <a:lnTo>
                    <a:pt x="113" y="39"/>
                  </a:lnTo>
                  <a:lnTo>
                    <a:pt x="121" y="47"/>
                  </a:lnTo>
                  <a:lnTo>
                    <a:pt x="130" y="53"/>
                  </a:lnTo>
                  <a:lnTo>
                    <a:pt x="130" y="57"/>
                  </a:lnTo>
                  <a:lnTo>
                    <a:pt x="130" y="63"/>
                  </a:lnTo>
                  <a:lnTo>
                    <a:pt x="129" y="69"/>
                  </a:lnTo>
                  <a:lnTo>
                    <a:pt x="128" y="74"/>
                  </a:lnTo>
                  <a:lnTo>
                    <a:pt x="124" y="80"/>
                  </a:lnTo>
                  <a:lnTo>
                    <a:pt x="119" y="84"/>
                  </a:lnTo>
                  <a:lnTo>
                    <a:pt x="115" y="87"/>
                  </a:lnTo>
                  <a:lnTo>
                    <a:pt x="111" y="90"/>
                  </a:lnTo>
                  <a:lnTo>
                    <a:pt x="108" y="96"/>
                  </a:lnTo>
                  <a:close/>
                </a:path>
              </a:pathLst>
            </a:custGeom>
            <a:solidFill>
              <a:srgbClr val="1A2232"/>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30" name="Freeform 14">
              <a:extLst>
                <a:ext uri="{FF2B5EF4-FFF2-40B4-BE49-F238E27FC236}">
                  <a16:creationId xmlns:a16="http://schemas.microsoft.com/office/drawing/2014/main" id="{00000000-0008-0000-0900-00001A7E1200}"/>
                </a:ext>
              </a:extLst>
            </xdr:cNvPr>
            <xdr:cNvSpPr>
              <a:spLocks noChangeAspect="1"/>
            </xdr:cNvSpPr>
          </xdr:nvSpPr>
          <xdr:spPr bwMode="auto">
            <a:xfrm rot="238154">
              <a:off x="1591" y="2956"/>
              <a:ext cx="298" cy="225"/>
            </a:xfrm>
            <a:custGeom>
              <a:avLst/>
              <a:gdLst>
                <a:gd name="T0" fmla="*/ 1 w 241"/>
                <a:gd name="T1" fmla="*/ 1263 h 182"/>
                <a:gd name="T2" fmla="*/ 61 w 241"/>
                <a:gd name="T3" fmla="*/ 1160 h 182"/>
                <a:gd name="T4" fmla="*/ 168 w 241"/>
                <a:gd name="T5" fmla="*/ 1078 h 182"/>
                <a:gd name="T6" fmla="*/ 257 w 241"/>
                <a:gd name="T7" fmla="*/ 919 h 182"/>
                <a:gd name="T8" fmla="*/ 350 w 241"/>
                <a:gd name="T9" fmla="*/ 827 h 182"/>
                <a:gd name="T10" fmla="*/ 413 w 241"/>
                <a:gd name="T11" fmla="*/ 743 h 182"/>
                <a:gd name="T12" fmla="*/ 454 w 241"/>
                <a:gd name="T13" fmla="*/ 639 h 182"/>
                <a:gd name="T14" fmla="*/ 503 w 241"/>
                <a:gd name="T15" fmla="*/ 591 h 182"/>
                <a:gd name="T16" fmla="*/ 632 w 241"/>
                <a:gd name="T17" fmla="*/ 591 h 182"/>
                <a:gd name="T18" fmla="*/ 732 w 241"/>
                <a:gd name="T19" fmla="*/ 486 h 182"/>
                <a:gd name="T20" fmla="*/ 880 w 241"/>
                <a:gd name="T21" fmla="*/ 394 h 182"/>
                <a:gd name="T22" fmla="*/ 911 w 241"/>
                <a:gd name="T23" fmla="*/ 283 h 182"/>
                <a:gd name="T24" fmla="*/ 950 w 241"/>
                <a:gd name="T25" fmla="*/ 205 h 182"/>
                <a:gd name="T26" fmla="*/ 990 w 241"/>
                <a:gd name="T27" fmla="*/ 40 h 182"/>
                <a:gd name="T28" fmla="*/ 1047 w 241"/>
                <a:gd name="T29" fmla="*/ 101 h 182"/>
                <a:gd name="T30" fmla="*/ 1058 w 241"/>
                <a:gd name="T31" fmla="*/ 283 h 182"/>
                <a:gd name="T32" fmla="*/ 1026 w 241"/>
                <a:gd name="T33" fmla="*/ 454 h 182"/>
                <a:gd name="T34" fmla="*/ 1126 w 241"/>
                <a:gd name="T35" fmla="*/ 511 h 182"/>
                <a:gd name="T36" fmla="*/ 1162 w 241"/>
                <a:gd name="T37" fmla="*/ 661 h 182"/>
                <a:gd name="T38" fmla="*/ 1253 w 241"/>
                <a:gd name="T39" fmla="*/ 694 h 182"/>
                <a:gd name="T40" fmla="*/ 1312 w 241"/>
                <a:gd name="T41" fmla="*/ 487 h 182"/>
                <a:gd name="T42" fmla="*/ 1345 w 241"/>
                <a:gd name="T43" fmla="*/ 362 h 182"/>
                <a:gd name="T44" fmla="*/ 1405 w 241"/>
                <a:gd name="T45" fmla="*/ 319 h 182"/>
                <a:gd name="T46" fmla="*/ 1424 w 241"/>
                <a:gd name="T47" fmla="*/ 387 h 182"/>
                <a:gd name="T48" fmla="*/ 1481 w 241"/>
                <a:gd name="T49" fmla="*/ 418 h 182"/>
                <a:gd name="T50" fmla="*/ 1575 w 241"/>
                <a:gd name="T51" fmla="*/ 454 h 182"/>
                <a:gd name="T52" fmla="*/ 1688 w 241"/>
                <a:gd name="T53" fmla="*/ 418 h 182"/>
                <a:gd name="T54" fmla="*/ 1797 w 241"/>
                <a:gd name="T55" fmla="*/ 413 h 182"/>
                <a:gd name="T56" fmla="*/ 1871 w 241"/>
                <a:gd name="T57" fmla="*/ 376 h 182"/>
                <a:gd name="T58" fmla="*/ 1940 w 241"/>
                <a:gd name="T59" fmla="*/ 465 h 182"/>
                <a:gd name="T60" fmla="*/ 1880 w 241"/>
                <a:gd name="T61" fmla="*/ 591 h 182"/>
                <a:gd name="T62" fmla="*/ 1935 w 241"/>
                <a:gd name="T63" fmla="*/ 736 h 182"/>
                <a:gd name="T64" fmla="*/ 2006 w 241"/>
                <a:gd name="T65" fmla="*/ 783 h 182"/>
                <a:gd name="T66" fmla="*/ 1980 w 241"/>
                <a:gd name="T67" fmla="*/ 951 h 182"/>
                <a:gd name="T68" fmla="*/ 2013 w 241"/>
                <a:gd name="T69" fmla="*/ 1087 h 182"/>
                <a:gd name="T70" fmla="*/ 1663 w 241"/>
                <a:gd name="T71" fmla="*/ 1506 h 182"/>
                <a:gd name="T72" fmla="*/ 1513 w 241"/>
                <a:gd name="T73" fmla="*/ 1366 h 182"/>
                <a:gd name="T74" fmla="*/ 1590 w 241"/>
                <a:gd name="T75" fmla="*/ 880 h 182"/>
                <a:gd name="T76" fmla="*/ 1575 w 241"/>
                <a:gd name="T77" fmla="*/ 807 h 182"/>
                <a:gd name="T78" fmla="*/ 1308 w 241"/>
                <a:gd name="T79" fmla="*/ 919 h 182"/>
                <a:gd name="T80" fmla="*/ 1208 w 241"/>
                <a:gd name="T81" fmla="*/ 1022 h 182"/>
                <a:gd name="T82" fmla="*/ 1047 w 241"/>
                <a:gd name="T83" fmla="*/ 1151 h 182"/>
                <a:gd name="T84" fmla="*/ 932 w 241"/>
                <a:gd name="T85" fmla="*/ 1333 h 182"/>
                <a:gd name="T86" fmla="*/ 905 w 241"/>
                <a:gd name="T87" fmla="*/ 1514 h 182"/>
                <a:gd name="T88" fmla="*/ 542 w 241"/>
                <a:gd name="T89" fmla="*/ 1406 h 182"/>
                <a:gd name="T90" fmla="*/ 344 w 241"/>
                <a:gd name="T91" fmla="*/ 1455 h 182"/>
                <a:gd name="T92" fmla="*/ 61 w 241"/>
                <a:gd name="T93" fmla="*/ 1382 h 182"/>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0" t="0" r="r" b="b"/>
              <a:pathLst>
                <a:path w="241" h="182">
                  <a:moveTo>
                    <a:pt x="0" y="167"/>
                  </a:moveTo>
                  <a:lnTo>
                    <a:pt x="0" y="160"/>
                  </a:lnTo>
                  <a:lnTo>
                    <a:pt x="1" y="151"/>
                  </a:lnTo>
                  <a:lnTo>
                    <a:pt x="3" y="145"/>
                  </a:lnTo>
                  <a:lnTo>
                    <a:pt x="4" y="142"/>
                  </a:lnTo>
                  <a:lnTo>
                    <a:pt x="7" y="139"/>
                  </a:lnTo>
                  <a:lnTo>
                    <a:pt x="14" y="135"/>
                  </a:lnTo>
                  <a:lnTo>
                    <a:pt x="18" y="134"/>
                  </a:lnTo>
                  <a:lnTo>
                    <a:pt x="20" y="129"/>
                  </a:lnTo>
                  <a:lnTo>
                    <a:pt x="25" y="122"/>
                  </a:lnTo>
                  <a:lnTo>
                    <a:pt x="27" y="121"/>
                  </a:lnTo>
                  <a:lnTo>
                    <a:pt x="31" y="110"/>
                  </a:lnTo>
                  <a:lnTo>
                    <a:pt x="34" y="105"/>
                  </a:lnTo>
                  <a:lnTo>
                    <a:pt x="37" y="102"/>
                  </a:lnTo>
                  <a:lnTo>
                    <a:pt x="42" y="99"/>
                  </a:lnTo>
                  <a:lnTo>
                    <a:pt x="43" y="97"/>
                  </a:lnTo>
                  <a:lnTo>
                    <a:pt x="47" y="91"/>
                  </a:lnTo>
                  <a:lnTo>
                    <a:pt x="49" y="89"/>
                  </a:lnTo>
                  <a:lnTo>
                    <a:pt x="52" y="85"/>
                  </a:lnTo>
                  <a:lnTo>
                    <a:pt x="53" y="82"/>
                  </a:lnTo>
                  <a:lnTo>
                    <a:pt x="54" y="77"/>
                  </a:lnTo>
                  <a:lnTo>
                    <a:pt x="54" y="75"/>
                  </a:lnTo>
                  <a:lnTo>
                    <a:pt x="58" y="71"/>
                  </a:lnTo>
                  <a:lnTo>
                    <a:pt x="60" y="70"/>
                  </a:lnTo>
                  <a:lnTo>
                    <a:pt x="64" y="70"/>
                  </a:lnTo>
                  <a:lnTo>
                    <a:pt x="66" y="71"/>
                  </a:lnTo>
                  <a:lnTo>
                    <a:pt x="75" y="70"/>
                  </a:lnTo>
                  <a:lnTo>
                    <a:pt x="78" y="67"/>
                  </a:lnTo>
                  <a:lnTo>
                    <a:pt x="84" y="62"/>
                  </a:lnTo>
                  <a:lnTo>
                    <a:pt x="87" y="58"/>
                  </a:lnTo>
                  <a:lnTo>
                    <a:pt x="96" y="54"/>
                  </a:lnTo>
                  <a:lnTo>
                    <a:pt x="102" y="51"/>
                  </a:lnTo>
                  <a:lnTo>
                    <a:pt x="106" y="48"/>
                  </a:lnTo>
                  <a:lnTo>
                    <a:pt x="109" y="43"/>
                  </a:lnTo>
                  <a:lnTo>
                    <a:pt x="109" y="38"/>
                  </a:lnTo>
                  <a:lnTo>
                    <a:pt x="109" y="34"/>
                  </a:lnTo>
                  <a:lnTo>
                    <a:pt x="111" y="31"/>
                  </a:lnTo>
                  <a:lnTo>
                    <a:pt x="113" y="28"/>
                  </a:lnTo>
                  <a:lnTo>
                    <a:pt x="113" y="24"/>
                  </a:lnTo>
                  <a:lnTo>
                    <a:pt x="114" y="17"/>
                  </a:lnTo>
                  <a:lnTo>
                    <a:pt x="116" y="11"/>
                  </a:lnTo>
                  <a:lnTo>
                    <a:pt x="118" y="5"/>
                  </a:lnTo>
                  <a:lnTo>
                    <a:pt x="122" y="0"/>
                  </a:lnTo>
                  <a:lnTo>
                    <a:pt x="125" y="6"/>
                  </a:lnTo>
                  <a:lnTo>
                    <a:pt x="125" y="12"/>
                  </a:lnTo>
                  <a:lnTo>
                    <a:pt x="126" y="17"/>
                  </a:lnTo>
                  <a:lnTo>
                    <a:pt x="127" y="27"/>
                  </a:lnTo>
                  <a:lnTo>
                    <a:pt x="126" y="34"/>
                  </a:lnTo>
                  <a:lnTo>
                    <a:pt x="125" y="40"/>
                  </a:lnTo>
                  <a:lnTo>
                    <a:pt x="123" y="44"/>
                  </a:lnTo>
                  <a:lnTo>
                    <a:pt x="123" y="54"/>
                  </a:lnTo>
                  <a:lnTo>
                    <a:pt x="127" y="59"/>
                  </a:lnTo>
                  <a:lnTo>
                    <a:pt x="132" y="59"/>
                  </a:lnTo>
                  <a:lnTo>
                    <a:pt x="135" y="61"/>
                  </a:lnTo>
                  <a:lnTo>
                    <a:pt x="136" y="67"/>
                  </a:lnTo>
                  <a:lnTo>
                    <a:pt x="138" y="74"/>
                  </a:lnTo>
                  <a:lnTo>
                    <a:pt x="139" y="79"/>
                  </a:lnTo>
                  <a:lnTo>
                    <a:pt x="142" y="83"/>
                  </a:lnTo>
                  <a:lnTo>
                    <a:pt x="147" y="85"/>
                  </a:lnTo>
                  <a:lnTo>
                    <a:pt x="150" y="83"/>
                  </a:lnTo>
                  <a:lnTo>
                    <a:pt x="156" y="70"/>
                  </a:lnTo>
                  <a:lnTo>
                    <a:pt x="157" y="64"/>
                  </a:lnTo>
                  <a:lnTo>
                    <a:pt x="157" y="59"/>
                  </a:lnTo>
                  <a:lnTo>
                    <a:pt x="157" y="52"/>
                  </a:lnTo>
                  <a:lnTo>
                    <a:pt x="159" y="47"/>
                  </a:lnTo>
                  <a:lnTo>
                    <a:pt x="162" y="43"/>
                  </a:lnTo>
                  <a:lnTo>
                    <a:pt x="164" y="40"/>
                  </a:lnTo>
                  <a:lnTo>
                    <a:pt x="166" y="39"/>
                  </a:lnTo>
                  <a:lnTo>
                    <a:pt x="168" y="39"/>
                  </a:lnTo>
                  <a:lnTo>
                    <a:pt x="168" y="42"/>
                  </a:lnTo>
                  <a:lnTo>
                    <a:pt x="170" y="45"/>
                  </a:lnTo>
                  <a:lnTo>
                    <a:pt x="171" y="46"/>
                  </a:lnTo>
                  <a:lnTo>
                    <a:pt x="175" y="46"/>
                  </a:lnTo>
                  <a:lnTo>
                    <a:pt x="177" y="47"/>
                  </a:lnTo>
                  <a:lnTo>
                    <a:pt x="178" y="50"/>
                  </a:lnTo>
                  <a:lnTo>
                    <a:pt x="179" y="53"/>
                  </a:lnTo>
                  <a:lnTo>
                    <a:pt x="182" y="54"/>
                  </a:lnTo>
                  <a:lnTo>
                    <a:pt x="189" y="54"/>
                  </a:lnTo>
                  <a:lnTo>
                    <a:pt x="194" y="53"/>
                  </a:lnTo>
                  <a:lnTo>
                    <a:pt x="196" y="53"/>
                  </a:lnTo>
                  <a:lnTo>
                    <a:pt x="202" y="50"/>
                  </a:lnTo>
                  <a:lnTo>
                    <a:pt x="206" y="49"/>
                  </a:lnTo>
                  <a:lnTo>
                    <a:pt x="210" y="49"/>
                  </a:lnTo>
                  <a:lnTo>
                    <a:pt x="214" y="49"/>
                  </a:lnTo>
                  <a:lnTo>
                    <a:pt x="218" y="46"/>
                  </a:lnTo>
                  <a:lnTo>
                    <a:pt x="220" y="44"/>
                  </a:lnTo>
                  <a:lnTo>
                    <a:pt x="224" y="45"/>
                  </a:lnTo>
                  <a:lnTo>
                    <a:pt x="228" y="47"/>
                  </a:lnTo>
                  <a:lnTo>
                    <a:pt x="231" y="51"/>
                  </a:lnTo>
                  <a:lnTo>
                    <a:pt x="232" y="56"/>
                  </a:lnTo>
                  <a:lnTo>
                    <a:pt x="231" y="60"/>
                  </a:lnTo>
                  <a:lnTo>
                    <a:pt x="228" y="65"/>
                  </a:lnTo>
                  <a:lnTo>
                    <a:pt x="225" y="70"/>
                  </a:lnTo>
                  <a:lnTo>
                    <a:pt x="223" y="74"/>
                  </a:lnTo>
                  <a:lnTo>
                    <a:pt x="225" y="78"/>
                  </a:lnTo>
                  <a:lnTo>
                    <a:pt x="231" y="88"/>
                  </a:lnTo>
                  <a:lnTo>
                    <a:pt x="235" y="92"/>
                  </a:lnTo>
                  <a:lnTo>
                    <a:pt x="238" y="94"/>
                  </a:lnTo>
                  <a:lnTo>
                    <a:pt x="240" y="94"/>
                  </a:lnTo>
                  <a:lnTo>
                    <a:pt x="239" y="96"/>
                  </a:lnTo>
                  <a:lnTo>
                    <a:pt x="236" y="108"/>
                  </a:lnTo>
                  <a:lnTo>
                    <a:pt x="237" y="114"/>
                  </a:lnTo>
                  <a:lnTo>
                    <a:pt x="240" y="119"/>
                  </a:lnTo>
                  <a:lnTo>
                    <a:pt x="241" y="123"/>
                  </a:lnTo>
                  <a:lnTo>
                    <a:pt x="241" y="130"/>
                  </a:lnTo>
                  <a:lnTo>
                    <a:pt x="232" y="152"/>
                  </a:lnTo>
                  <a:lnTo>
                    <a:pt x="214" y="173"/>
                  </a:lnTo>
                  <a:lnTo>
                    <a:pt x="200" y="180"/>
                  </a:lnTo>
                  <a:lnTo>
                    <a:pt x="192" y="178"/>
                  </a:lnTo>
                  <a:lnTo>
                    <a:pt x="185" y="174"/>
                  </a:lnTo>
                  <a:lnTo>
                    <a:pt x="181" y="164"/>
                  </a:lnTo>
                  <a:lnTo>
                    <a:pt x="183" y="144"/>
                  </a:lnTo>
                  <a:lnTo>
                    <a:pt x="185" y="114"/>
                  </a:lnTo>
                  <a:lnTo>
                    <a:pt x="190" y="106"/>
                  </a:lnTo>
                  <a:lnTo>
                    <a:pt x="192" y="102"/>
                  </a:lnTo>
                  <a:lnTo>
                    <a:pt x="191" y="99"/>
                  </a:lnTo>
                  <a:lnTo>
                    <a:pt x="189" y="97"/>
                  </a:lnTo>
                  <a:lnTo>
                    <a:pt x="159" y="98"/>
                  </a:lnTo>
                  <a:lnTo>
                    <a:pt x="157" y="103"/>
                  </a:lnTo>
                  <a:lnTo>
                    <a:pt x="156" y="110"/>
                  </a:lnTo>
                  <a:lnTo>
                    <a:pt x="155" y="114"/>
                  </a:lnTo>
                  <a:lnTo>
                    <a:pt x="152" y="117"/>
                  </a:lnTo>
                  <a:lnTo>
                    <a:pt x="145" y="122"/>
                  </a:lnTo>
                  <a:lnTo>
                    <a:pt x="136" y="127"/>
                  </a:lnTo>
                  <a:lnTo>
                    <a:pt x="126" y="133"/>
                  </a:lnTo>
                  <a:lnTo>
                    <a:pt x="125" y="138"/>
                  </a:lnTo>
                  <a:lnTo>
                    <a:pt x="123" y="145"/>
                  </a:lnTo>
                  <a:lnTo>
                    <a:pt x="121" y="148"/>
                  </a:lnTo>
                  <a:lnTo>
                    <a:pt x="112" y="159"/>
                  </a:lnTo>
                  <a:lnTo>
                    <a:pt x="107" y="168"/>
                  </a:lnTo>
                  <a:lnTo>
                    <a:pt x="107" y="171"/>
                  </a:lnTo>
                  <a:lnTo>
                    <a:pt x="108" y="182"/>
                  </a:lnTo>
                  <a:lnTo>
                    <a:pt x="95" y="178"/>
                  </a:lnTo>
                  <a:lnTo>
                    <a:pt x="70" y="170"/>
                  </a:lnTo>
                  <a:lnTo>
                    <a:pt x="65" y="169"/>
                  </a:lnTo>
                  <a:lnTo>
                    <a:pt x="57" y="171"/>
                  </a:lnTo>
                  <a:lnTo>
                    <a:pt x="47" y="174"/>
                  </a:lnTo>
                  <a:lnTo>
                    <a:pt x="41" y="175"/>
                  </a:lnTo>
                  <a:lnTo>
                    <a:pt x="32" y="172"/>
                  </a:lnTo>
                  <a:lnTo>
                    <a:pt x="13" y="167"/>
                  </a:lnTo>
                  <a:lnTo>
                    <a:pt x="7" y="166"/>
                  </a:lnTo>
                  <a:lnTo>
                    <a:pt x="0" y="167"/>
                  </a:lnTo>
                  <a:close/>
                </a:path>
              </a:pathLst>
            </a:custGeom>
            <a:solidFill>
              <a:srgbClr val="BDC3C4"/>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31" name="Freeform 15">
              <a:extLst>
                <a:ext uri="{FF2B5EF4-FFF2-40B4-BE49-F238E27FC236}">
                  <a16:creationId xmlns:a16="http://schemas.microsoft.com/office/drawing/2014/main" id="{00000000-0008-0000-0900-00001B7E1200}"/>
                </a:ext>
              </a:extLst>
            </xdr:cNvPr>
            <xdr:cNvSpPr>
              <a:spLocks noChangeAspect="1"/>
            </xdr:cNvSpPr>
          </xdr:nvSpPr>
          <xdr:spPr bwMode="auto">
            <a:xfrm rot="238154">
              <a:off x="1409" y="2539"/>
              <a:ext cx="201" cy="294"/>
            </a:xfrm>
            <a:custGeom>
              <a:avLst/>
              <a:gdLst>
                <a:gd name="T0" fmla="*/ 464 w 163"/>
                <a:gd name="T1" fmla="*/ 1896 h 239"/>
                <a:gd name="T2" fmla="*/ 407 w 163"/>
                <a:gd name="T3" fmla="*/ 1896 h 239"/>
                <a:gd name="T4" fmla="*/ 359 w 163"/>
                <a:gd name="T5" fmla="*/ 1887 h 239"/>
                <a:gd name="T6" fmla="*/ 316 w 163"/>
                <a:gd name="T7" fmla="*/ 1830 h 239"/>
                <a:gd name="T8" fmla="*/ 247 w 163"/>
                <a:gd name="T9" fmla="*/ 1786 h 239"/>
                <a:gd name="T10" fmla="*/ 169 w 163"/>
                <a:gd name="T11" fmla="*/ 1786 h 239"/>
                <a:gd name="T12" fmla="*/ 118 w 163"/>
                <a:gd name="T13" fmla="*/ 1748 h 239"/>
                <a:gd name="T14" fmla="*/ 63 w 163"/>
                <a:gd name="T15" fmla="*/ 1717 h 239"/>
                <a:gd name="T16" fmla="*/ 32 w 163"/>
                <a:gd name="T17" fmla="*/ 1659 h 239"/>
                <a:gd name="T18" fmla="*/ 0 w 163"/>
                <a:gd name="T19" fmla="*/ 1563 h 239"/>
                <a:gd name="T20" fmla="*/ 185 w 163"/>
                <a:gd name="T21" fmla="*/ 1421 h 239"/>
                <a:gd name="T22" fmla="*/ 344 w 163"/>
                <a:gd name="T23" fmla="*/ 1262 h 239"/>
                <a:gd name="T24" fmla="*/ 488 w 163"/>
                <a:gd name="T25" fmla="*/ 1074 h 239"/>
                <a:gd name="T26" fmla="*/ 578 w 163"/>
                <a:gd name="T27" fmla="*/ 923 h 239"/>
                <a:gd name="T28" fmla="*/ 593 w 163"/>
                <a:gd name="T29" fmla="*/ 683 h 239"/>
                <a:gd name="T30" fmla="*/ 546 w 163"/>
                <a:gd name="T31" fmla="*/ 507 h 239"/>
                <a:gd name="T32" fmla="*/ 559 w 163"/>
                <a:gd name="T33" fmla="*/ 387 h 239"/>
                <a:gd name="T34" fmla="*/ 602 w 163"/>
                <a:gd name="T35" fmla="*/ 229 h 239"/>
                <a:gd name="T36" fmla="*/ 850 w 163"/>
                <a:gd name="T37" fmla="*/ 132 h 239"/>
                <a:gd name="T38" fmla="*/ 1072 w 163"/>
                <a:gd name="T39" fmla="*/ 32 h 239"/>
                <a:gd name="T40" fmla="*/ 1149 w 163"/>
                <a:gd name="T41" fmla="*/ 26 h 239"/>
                <a:gd name="T42" fmla="*/ 1326 w 163"/>
                <a:gd name="T43" fmla="*/ 26 h 239"/>
                <a:gd name="T44" fmla="*/ 1247 w 163"/>
                <a:gd name="T45" fmla="*/ 162 h 239"/>
                <a:gd name="T46" fmla="*/ 1233 w 163"/>
                <a:gd name="T47" fmla="*/ 261 h 239"/>
                <a:gd name="T48" fmla="*/ 1149 w 163"/>
                <a:gd name="T49" fmla="*/ 316 h 239"/>
                <a:gd name="T50" fmla="*/ 980 w 163"/>
                <a:gd name="T51" fmla="*/ 439 h 239"/>
                <a:gd name="T52" fmla="*/ 842 w 163"/>
                <a:gd name="T53" fmla="*/ 427 h 239"/>
                <a:gd name="T54" fmla="*/ 771 w 163"/>
                <a:gd name="T55" fmla="*/ 525 h 239"/>
                <a:gd name="T56" fmla="*/ 872 w 163"/>
                <a:gd name="T57" fmla="*/ 586 h 239"/>
                <a:gd name="T58" fmla="*/ 983 w 163"/>
                <a:gd name="T59" fmla="*/ 646 h 239"/>
                <a:gd name="T60" fmla="*/ 941 w 163"/>
                <a:gd name="T61" fmla="*/ 768 h 239"/>
                <a:gd name="T62" fmla="*/ 879 w 163"/>
                <a:gd name="T63" fmla="*/ 755 h 239"/>
                <a:gd name="T64" fmla="*/ 822 w 163"/>
                <a:gd name="T65" fmla="*/ 787 h 239"/>
                <a:gd name="T66" fmla="*/ 771 w 163"/>
                <a:gd name="T67" fmla="*/ 840 h 239"/>
                <a:gd name="T68" fmla="*/ 725 w 163"/>
                <a:gd name="T69" fmla="*/ 956 h 239"/>
                <a:gd name="T70" fmla="*/ 705 w 163"/>
                <a:gd name="T71" fmla="*/ 1012 h 239"/>
                <a:gd name="T72" fmla="*/ 658 w 163"/>
                <a:gd name="T73" fmla="*/ 1074 h 239"/>
                <a:gd name="T74" fmla="*/ 684 w 163"/>
                <a:gd name="T75" fmla="*/ 1171 h 239"/>
                <a:gd name="T76" fmla="*/ 645 w 163"/>
                <a:gd name="T77" fmla="*/ 1271 h 239"/>
                <a:gd name="T78" fmla="*/ 645 w 163"/>
                <a:gd name="T79" fmla="*/ 1336 h 239"/>
                <a:gd name="T80" fmla="*/ 602 w 163"/>
                <a:gd name="T81" fmla="*/ 1406 h 239"/>
                <a:gd name="T82" fmla="*/ 588 w 163"/>
                <a:gd name="T83" fmla="*/ 1495 h 239"/>
                <a:gd name="T84" fmla="*/ 572 w 163"/>
                <a:gd name="T85" fmla="*/ 1625 h 239"/>
                <a:gd name="T86" fmla="*/ 588 w 163"/>
                <a:gd name="T87" fmla="*/ 1682 h 239"/>
                <a:gd name="T88" fmla="*/ 602 w 163"/>
                <a:gd name="T89" fmla="*/ 1717 h 239"/>
                <a:gd name="T90" fmla="*/ 593 w 163"/>
                <a:gd name="T91" fmla="*/ 1795 h 239"/>
                <a:gd name="T92" fmla="*/ 523 w 163"/>
                <a:gd name="T93" fmla="*/ 1869 h 239"/>
                <a:gd name="T94" fmla="*/ 464 w 163"/>
                <a:gd name="T95" fmla="*/ 1896 h 239"/>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0" t="0" r="r" b="b"/>
              <a:pathLst>
                <a:path w="163" h="239">
                  <a:moveTo>
                    <a:pt x="57" y="239"/>
                  </a:moveTo>
                  <a:lnTo>
                    <a:pt x="57" y="239"/>
                  </a:lnTo>
                  <a:lnTo>
                    <a:pt x="54" y="239"/>
                  </a:lnTo>
                  <a:lnTo>
                    <a:pt x="50" y="239"/>
                  </a:lnTo>
                  <a:lnTo>
                    <a:pt x="47" y="239"/>
                  </a:lnTo>
                  <a:lnTo>
                    <a:pt x="44" y="238"/>
                  </a:lnTo>
                  <a:lnTo>
                    <a:pt x="41" y="235"/>
                  </a:lnTo>
                  <a:lnTo>
                    <a:pt x="39" y="231"/>
                  </a:lnTo>
                  <a:lnTo>
                    <a:pt x="35" y="228"/>
                  </a:lnTo>
                  <a:lnTo>
                    <a:pt x="30" y="225"/>
                  </a:lnTo>
                  <a:lnTo>
                    <a:pt x="24" y="225"/>
                  </a:lnTo>
                  <a:lnTo>
                    <a:pt x="21" y="225"/>
                  </a:lnTo>
                  <a:lnTo>
                    <a:pt x="17" y="225"/>
                  </a:lnTo>
                  <a:lnTo>
                    <a:pt x="15" y="220"/>
                  </a:lnTo>
                  <a:lnTo>
                    <a:pt x="10" y="219"/>
                  </a:lnTo>
                  <a:lnTo>
                    <a:pt x="8" y="217"/>
                  </a:lnTo>
                  <a:lnTo>
                    <a:pt x="6" y="213"/>
                  </a:lnTo>
                  <a:lnTo>
                    <a:pt x="4" y="209"/>
                  </a:lnTo>
                  <a:lnTo>
                    <a:pt x="2" y="203"/>
                  </a:lnTo>
                  <a:lnTo>
                    <a:pt x="0" y="197"/>
                  </a:lnTo>
                  <a:lnTo>
                    <a:pt x="8" y="190"/>
                  </a:lnTo>
                  <a:lnTo>
                    <a:pt x="23" y="179"/>
                  </a:lnTo>
                  <a:lnTo>
                    <a:pt x="31" y="172"/>
                  </a:lnTo>
                  <a:lnTo>
                    <a:pt x="42" y="159"/>
                  </a:lnTo>
                  <a:lnTo>
                    <a:pt x="54" y="145"/>
                  </a:lnTo>
                  <a:lnTo>
                    <a:pt x="61" y="136"/>
                  </a:lnTo>
                  <a:lnTo>
                    <a:pt x="66" y="127"/>
                  </a:lnTo>
                  <a:lnTo>
                    <a:pt x="71" y="116"/>
                  </a:lnTo>
                  <a:lnTo>
                    <a:pt x="74" y="105"/>
                  </a:lnTo>
                  <a:lnTo>
                    <a:pt x="73" y="86"/>
                  </a:lnTo>
                  <a:lnTo>
                    <a:pt x="70" y="63"/>
                  </a:lnTo>
                  <a:lnTo>
                    <a:pt x="67" y="64"/>
                  </a:lnTo>
                  <a:lnTo>
                    <a:pt x="66" y="60"/>
                  </a:lnTo>
                  <a:lnTo>
                    <a:pt x="69" y="48"/>
                  </a:lnTo>
                  <a:lnTo>
                    <a:pt x="74" y="40"/>
                  </a:lnTo>
                  <a:lnTo>
                    <a:pt x="75" y="29"/>
                  </a:lnTo>
                  <a:lnTo>
                    <a:pt x="97" y="17"/>
                  </a:lnTo>
                  <a:lnTo>
                    <a:pt x="105" y="16"/>
                  </a:lnTo>
                  <a:lnTo>
                    <a:pt x="123" y="9"/>
                  </a:lnTo>
                  <a:lnTo>
                    <a:pt x="131" y="4"/>
                  </a:lnTo>
                  <a:lnTo>
                    <a:pt x="135" y="4"/>
                  </a:lnTo>
                  <a:lnTo>
                    <a:pt x="141" y="3"/>
                  </a:lnTo>
                  <a:lnTo>
                    <a:pt x="154" y="0"/>
                  </a:lnTo>
                  <a:lnTo>
                    <a:pt x="163" y="3"/>
                  </a:lnTo>
                  <a:lnTo>
                    <a:pt x="163" y="14"/>
                  </a:lnTo>
                  <a:lnTo>
                    <a:pt x="153" y="20"/>
                  </a:lnTo>
                  <a:lnTo>
                    <a:pt x="152" y="24"/>
                  </a:lnTo>
                  <a:lnTo>
                    <a:pt x="152" y="33"/>
                  </a:lnTo>
                  <a:lnTo>
                    <a:pt x="148" y="36"/>
                  </a:lnTo>
                  <a:lnTo>
                    <a:pt x="141" y="40"/>
                  </a:lnTo>
                  <a:lnTo>
                    <a:pt x="129" y="42"/>
                  </a:lnTo>
                  <a:lnTo>
                    <a:pt x="120" y="55"/>
                  </a:lnTo>
                  <a:lnTo>
                    <a:pt x="115" y="57"/>
                  </a:lnTo>
                  <a:lnTo>
                    <a:pt x="103" y="54"/>
                  </a:lnTo>
                  <a:lnTo>
                    <a:pt x="97" y="59"/>
                  </a:lnTo>
                  <a:lnTo>
                    <a:pt x="95" y="66"/>
                  </a:lnTo>
                  <a:lnTo>
                    <a:pt x="98" y="71"/>
                  </a:lnTo>
                  <a:lnTo>
                    <a:pt x="107" y="73"/>
                  </a:lnTo>
                  <a:lnTo>
                    <a:pt x="119" y="77"/>
                  </a:lnTo>
                  <a:lnTo>
                    <a:pt x="121" y="81"/>
                  </a:lnTo>
                  <a:lnTo>
                    <a:pt x="118" y="97"/>
                  </a:lnTo>
                  <a:lnTo>
                    <a:pt x="116" y="97"/>
                  </a:lnTo>
                  <a:lnTo>
                    <a:pt x="111" y="96"/>
                  </a:lnTo>
                  <a:lnTo>
                    <a:pt x="109" y="95"/>
                  </a:lnTo>
                  <a:lnTo>
                    <a:pt x="104" y="97"/>
                  </a:lnTo>
                  <a:lnTo>
                    <a:pt x="101" y="99"/>
                  </a:lnTo>
                  <a:lnTo>
                    <a:pt x="98" y="101"/>
                  </a:lnTo>
                  <a:lnTo>
                    <a:pt x="95" y="106"/>
                  </a:lnTo>
                  <a:lnTo>
                    <a:pt x="92" y="112"/>
                  </a:lnTo>
                  <a:lnTo>
                    <a:pt x="89" y="120"/>
                  </a:lnTo>
                  <a:lnTo>
                    <a:pt x="88" y="126"/>
                  </a:lnTo>
                  <a:lnTo>
                    <a:pt x="86" y="128"/>
                  </a:lnTo>
                  <a:lnTo>
                    <a:pt x="82" y="133"/>
                  </a:lnTo>
                  <a:lnTo>
                    <a:pt x="81" y="136"/>
                  </a:lnTo>
                  <a:lnTo>
                    <a:pt x="83" y="145"/>
                  </a:lnTo>
                  <a:lnTo>
                    <a:pt x="84" y="147"/>
                  </a:lnTo>
                  <a:lnTo>
                    <a:pt x="79" y="157"/>
                  </a:lnTo>
                  <a:lnTo>
                    <a:pt x="79" y="160"/>
                  </a:lnTo>
                  <a:lnTo>
                    <a:pt x="79" y="162"/>
                  </a:lnTo>
                  <a:lnTo>
                    <a:pt x="79" y="168"/>
                  </a:lnTo>
                  <a:lnTo>
                    <a:pt x="78" y="170"/>
                  </a:lnTo>
                  <a:lnTo>
                    <a:pt x="75" y="177"/>
                  </a:lnTo>
                  <a:lnTo>
                    <a:pt x="74" y="182"/>
                  </a:lnTo>
                  <a:lnTo>
                    <a:pt x="72" y="189"/>
                  </a:lnTo>
                  <a:lnTo>
                    <a:pt x="71" y="196"/>
                  </a:lnTo>
                  <a:lnTo>
                    <a:pt x="70" y="205"/>
                  </a:lnTo>
                  <a:lnTo>
                    <a:pt x="71" y="209"/>
                  </a:lnTo>
                  <a:lnTo>
                    <a:pt x="72" y="211"/>
                  </a:lnTo>
                  <a:lnTo>
                    <a:pt x="73" y="214"/>
                  </a:lnTo>
                  <a:lnTo>
                    <a:pt x="75" y="217"/>
                  </a:lnTo>
                  <a:lnTo>
                    <a:pt x="75" y="220"/>
                  </a:lnTo>
                  <a:lnTo>
                    <a:pt x="73" y="226"/>
                  </a:lnTo>
                  <a:lnTo>
                    <a:pt x="69" y="232"/>
                  </a:lnTo>
                  <a:lnTo>
                    <a:pt x="64" y="235"/>
                  </a:lnTo>
                  <a:lnTo>
                    <a:pt x="60" y="238"/>
                  </a:lnTo>
                  <a:lnTo>
                    <a:pt x="57" y="239"/>
                  </a:lnTo>
                  <a:close/>
                </a:path>
              </a:pathLst>
            </a:custGeom>
            <a:solidFill>
              <a:srgbClr val="BDC3C4"/>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32" name="Freeform 16">
              <a:extLst>
                <a:ext uri="{FF2B5EF4-FFF2-40B4-BE49-F238E27FC236}">
                  <a16:creationId xmlns:a16="http://schemas.microsoft.com/office/drawing/2014/main" id="{00000000-0008-0000-0900-00001C7E1200}"/>
                </a:ext>
              </a:extLst>
            </xdr:cNvPr>
            <xdr:cNvSpPr>
              <a:spLocks noChangeAspect="1"/>
            </xdr:cNvSpPr>
          </xdr:nvSpPr>
          <xdr:spPr bwMode="auto">
            <a:xfrm rot="238154">
              <a:off x="2141" y="2287"/>
              <a:ext cx="251" cy="257"/>
            </a:xfrm>
            <a:custGeom>
              <a:avLst/>
              <a:gdLst>
                <a:gd name="T0" fmla="*/ 794 w 202"/>
                <a:gd name="T1" fmla="*/ 1460 h 209"/>
                <a:gd name="T2" fmla="*/ 749 w 202"/>
                <a:gd name="T3" fmla="*/ 1509 h 209"/>
                <a:gd name="T4" fmla="*/ 649 w 202"/>
                <a:gd name="T5" fmla="*/ 1606 h 209"/>
                <a:gd name="T6" fmla="*/ 582 w 202"/>
                <a:gd name="T7" fmla="*/ 1644 h 209"/>
                <a:gd name="T8" fmla="*/ 473 w 202"/>
                <a:gd name="T9" fmla="*/ 1460 h 209"/>
                <a:gd name="T10" fmla="*/ 399 w 202"/>
                <a:gd name="T11" fmla="*/ 1460 h 209"/>
                <a:gd name="T12" fmla="*/ 287 w 202"/>
                <a:gd name="T13" fmla="*/ 1441 h 209"/>
                <a:gd name="T14" fmla="*/ 157 w 202"/>
                <a:gd name="T15" fmla="*/ 1371 h 209"/>
                <a:gd name="T16" fmla="*/ 88 w 202"/>
                <a:gd name="T17" fmla="*/ 1367 h 209"/>
                <a:gd name="T18" fmla="*/ 1 w 202"/>
                <a:gd name="T19" fmla="*/ 1337 h 209"/>
                <a:gd name="T20" fmla="*/ 62 w 202"/>
                <a:gd name="T21" fmla="*/ 1264 h 209"/>
                <a:gd name="T22" fmla="*/ 144 w 202"/>
                <a:gd name="T23" fmla="*/ 1262 h 209"/>
                <a:gd name="T24" fmla="*/ 157 w 202"/>
                <a:gd name="T25" fmla="*/ 1177 h 209"/>
                <a:gd name="T26" fmla="*/ 157 w 202"/>
                <a:gd name="T27" fmla="*/ 1128 h 209"/>
                <a:gd name="T28" fmla="*/ 242 w 202"/>
                <a:gd name="T29" fmla="*/ 1039 h 209"/>
                <a:gd name="T30" fmla="*/ 242 w 202"/>
                <a:gd name="T31" fmla="*/ 957 h 209"/>
                <a:gd name="T32" fmla="*/ 276 w 202"/>
                <a:gd name="T33" fmla="*/ 783 h 209"/>
                <a:gd name="T34" fmla="*/ 354 w 202"/>
                <a:gd name="T35" fmla="*/ 650 h 209"/>
                <a:gd name="T36" fmla="*/ 285 w 202"/>
                <a:gd name="T37" fmla="*/ 572 h 209"/>
                <a:gd name="T38" fmla="*/ 258 w 202"/>
                <a:gd name="T39" fmla="*/ 439 h 209"/>
                <a:gd name="T40" fmla="*/ 323 w 202"/>
                <a:gd name="T41" fmla="*/ 427 h 209"/>
                <a:gd name="T42" fmla="*/ 357 w 202"/>
                <a:gd name="T43" fmla="*/ 317 h 209"/>
                <a:gd name="T44" fmla="*/ 354 w 202"/>
                <a:gd name="T45" fmla="*/ 236 h 209"/>
                <a:gd name="T46" fmla="*/ 285 w 202"/>
                <a:gd name="T47" fmla="*/ 146 h 209"/>
                <a:gd name="T48" fmla="*/ 321 w 202"/>
                <a:gd name="T49" fmla="*/ 92 h 209"/>
                <a:gd name="T50" fmla="*/ 381 w 202"/>
                <a:gd name="T51" fmla="*/ 39 h 209"/>
                <a:gd name="T52" fmla="*/ 504 w 202"/>
                <a:gd name="T53" fmla="*/ 2 h 209"/>
                <a:gd name="T54" fmla="*/ 698 w 202"/>
                <a:gd name="T55" fmla="*/ 73 h 209"/>
                <a:gd name="T56" fmla="*/ 835 w 202"/>
                <a:gd name="T57" fmla="*/ 48 h 209"/>
                <a:gd name="T58" fmla="*/ 951 w 202"/>
                <a:gd name="T59" fmla="*/ 92 h 209"/>
                <a:gd name="T60" fmla="*/ 1075 w 202"/>
                <a:gd name="T61" fmla="*/ 162 h 209"/>
                <a:gd name="T62" fmla="*/ 1182 w 202"/>
                <a:gd name="T63" fmla="*/ 171 h 209"/>
                <a:gd name="T64" fmla="*/ 1108 w 202"/>
                <a:gd name="T65" fmla="*/ 199 h 209"/>
                <a:gd name="T66" fmla="*/ 1075 w 202"/>
                <a:gd name="T67" fmla="*/ 236 h 209"/>
                <a:gd name="T68" fmla="*/ 1128 w 202"/>
                <a:gd name="T69" fmla="*/ 290 h 209"/>
                <a:gd name="T70" fmla="*/ 1344 w 202"/>
                <a:gd name="T71" fmla="*/ 301 h 209"/>
                <a:gd name="T72" fmla="*/ 1438 w 202"/>
                <a:gd name="T73" fmla="*/ 252 h 209"/>
                <a:gd name="T74" fmla="*/ 1476 w 202"/>
                <a:gd name="T75" fmla="*/ 301 h 209"/>
                <a:gd name="T76" fmla="*/ 1532 w 202"/>
                <a:gd name="T77" fmla="*/ 199 h 209"/>
                <a:gd name="T78" fmla="*/ 1547 w 202"/>
                <a:gd name="T79" fmla="*/ 32 h 209"/>
                <a:gd name="T80" fmla="*/ 1635 w 202"/>
                <a:gd name="T81" fmla="*/ 32 h 209"/>
                <a:gd name="T82" fmla="*/ 1772 w 202"/>
                <a:gd name="T83" fmla="*/ 75 h 209"/>
                <a:gd name="T84" fmla="*/ 1742 w 202"/>
                <a:gd name="T85" fmla="*/ 180 h 209"/>
                <a:gd name="T86" fmla="*/ 1659 w 202"/>
                <a:gd name="T87" fmla="*/ 258 h 209"/>
                <a:gd name="T88" fmla="*/ 1590 w 202"/>
                <a:gd name="T89" fmla="*/ 301 h 209"/>
                <a:gd name="T90" fmla="*/ 1635 w 202"/>
                <a:gd name="T91" fmla="*/ 357 h 209"/>
                <a:gd name="T92" fmla="*/ 1623 w 202"/>
                <a:gd name="T93" fmla="*/ 427 h 209"/>
                <a:gd name="T94" fmla="*/ 1579 w 202"/>
                <a:gd name="T95" fmla="*/ 448 h 209"/>
                <a:gd name="T96" fmla="*/ 1532 w 202"/>
                <a:gd name="T97" fmla="*/ 553 h 209"/>
                <a:gd name="T98" fmla="*/ 1590 w 202"/>
                <a:gd name="T99" fmla="*/ 588 h 209"/>
                <a:gd name="T100" fmla="*/ 1579 w 202"/>
                <a:gd name="T101" fmla="*/ 697 h 209"/>
                <a:gd name="T102" fmla="*/ 1547 w 202"/>
                <a:gd name="T103" fmla="*/ 998 h 209"/>
                <a:gd name="T104" fmla="*/ 1377 w 202"/>
                <a:gd name="T105" fmla="*/ 939 h 209"/>
                <a:gd name="T106" fmla="*/ 1414 w 202"/>
                <a:gd name="T107" fmla="*/ 857 h 209"/>
                <a:gd name="T108" fmla="*/ 1195 w 202"/>
                <a:gd name="T109" fmla="*/ 836 h 209"/>
                <a:gd name="T110" fmla="*/ 1128 w 202"/>
                <a:gd name="T111" fmla="*/ 873 h 209"/>
                <a:gd name="T112" fmla="*/ 1097 w 202"/>
                <a:gd name="T113" fmla="*/ 906 h 209"/>
                <a:gd name="T114" fmla="*/ 1038 w 202"/>
                <a:gd name="T115" fmla="*/ 889 h 209"/>
                <a:gd name="T116" fmla="*/ 1013 w 202"/>
                <a:gd name="T117" fmla="*/ 930 h 209"/>
                <a:gd name="T118" fmla="*/ 1051 w 202"/>
                <a:gd name="T119" fmla="*/ 998 h 209"/>
                <a:gd name="T120" fmla="*/ 987 w 202"/>
                <a:gd name="T121" fmla="*/ 1026 h 209"/>
                <a:gd name="T122" fmla="*/ 865 w 202"/>
                <a:gd name="T123" fmla="*/ 1172 h 209"/>
                <a:gd name="T124" fmla="*/ 823 w 202"/>
                <a:gd name="T125" fmla="*/ 1460 h 209"/>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202" h="209">
                  <a:moveTo>
                    <a:pt x="94" y="185"/>
                  </a:moveTo>
                  <a:lnTo>
                    <a:pt x="91" y="185"/>
                  </a:lnTo>
                  <a:lnTo>
                    <a:pt x="89" y="188"/>
                  </a:lnTo>
                  <a:lnTo>
                    <a:pt x="85" y="191"/>
                  </a:lnTo>
                  <a:lnTo>
                    <a:pt x="83" y="201"/>
                  </a:lnTo>
                  <a:lnTo>
                    <a:pt x="74" y="203"/>
                  </a:lnTo>
                  <a:lnTo>
                    <a:pt x="74" y="209"/>
                  </a:lnTo>
                  <a:lnTo>
                    <a:pt x="66" y="208"/>
                  </a:lnTo>
                  <a:lnTo>
                    <a:pt x="62" y="195"/>
                  </a:lnTo>
                  <a:lnTo>
                    <a:pt x="55" y="185"/>
                  </a:lnTo>
                  <a:lnTo>
                    <a:pt x="51" y="183"/>
                  </a:lnTo>
                  <a:lnTo>
                    <a:pt x="45" y="185"/>
                  </a:lnTo>
                  <a:lnTo>
                    <a:pt x="37" y="186"/>
                  </a:lnTo>
                  <a:lnTo>
                    <a:pt x="33" y="182"/>
                  </a:lnTo>
                  <a:lnTo>
                    <a:pt x="25" y="181"/>
                  </a:lnTo>
                  <a:lnTo>
                    <a:pt x="18" y="174"/>
                  </a:lnTo>
                  <a:lnTo>
                    <a:pt x="15" y="175"/>
                  </a:lnTo>
                  <a:lnTo>
                    <a:pt x="10" y="172"/>
                  </a:lnTo>
                  <a:lnTo>
                    <a:pt x="6" y="170"/>
                  </a:lnTo>
                  <a:lnTo>
                    <a:pt x="1" y="169"/>
                  </a:lnTo>
                  <a:lnTo>
                    <a:pt x="0" y="162"/>
                  </a:lnTo>
                  <a:lnTo>
                    <a:pt x="7" y="160"/>
                  </a:lnTo>
                  <a:lnTo>
                    <a:pt x="9" y="159"/>
                  </a:lnTo>
                  <a:lnTo>
                    <a:pt x="16" y="159"/>
                  </a:lnTo>
                  <a:lnTo>
                    <a:pt x="19" y="156"/>
                  </a:lnTo>
                  <a:lnTo>
                    <a:pt x="18" y="149"/>
                  </a:lnTo>
                  <a:lnTo>
                    <a:pt x="17" y="147"/>
                  </a:lnTo>
                  <a:lnTo>
                    <a:pt x="18" y="143"/>
                  </a:lnTo>
                  <a:lnTo>
                    <a:pt x="21" y="140"/>
                  </a:lnTo>
                  <a:lnTo>
                    <a:pt x="27" y="132"/>
                  </a:lnTo>
                  <a:lnTo>
                    <a:pt x="27" y="128"/>
                  </a:lnTo>
                  <a:lnTo>
                    <a:pt x="27" y="121"/>
                  </a:lnTo>
                  <a:lnTo>
                    <a:pt x="26" y="115"/>
                  </a:lnTo>
                  <a:lnTo>
                    <a:pt x="31" y="99"/>
                  </a:lnTo>
                  <a:lnTo>
                    <a:pt x="35" y="90"/>
                  </a:lnTo>
                  <a:lnTo>
                    <a:pt x="40" y="83"/>
                  </a:lnTo>
                  <a:lnTo>
                    <a:pt x="37" y="77"/>
                  </a:lnTo>
                  <a:lnTo>
                    <a:pt x="32" y="72"/>
                  </a:lnTo>
                  <a:lnTo>
                    <a:pt x="30" y="62"/>
                  </a:lnTo>
                  <a:lnTo>
                    <a:pt x="29" y="55"/>
                  </a:lnTo>
                  <a:lnTo>
                    <a:pt x="30" y="52"/>
                  </a:lnTo>
                  <a:lnTo>
                    <a:pt x="37" y="54"/>
                  </a:lnTo>
                  <a:lnTo>
                    <a:pt x="41" y="49"/>
                  </a:lnTo>
                  <a:lnTo>
                    <a:pt x="41" y="41"/>
                  </a:lnTo>
                  <a:lnTo>
                    <a:pt x="37" y="37"/>
                  </a:lnTo>
                  <a:lnTo>
                    <a:pt x="40" y="30"/>
                  </a:lnTo>
                  <a:lnTo>
                    <a:pt x="36" y="23"/>
                  </a:lnTo>
                  <a:lnTo>
                    <a:pt x="32" y="19"/>
                  </a:lnTo>
                  <a:lnTo>
                    <a:pt x="30" y="12"/>
                  </a:lnTo>
                  <a:lnTo>
                    <a:pt x="36" y="12"/>
                  </a:lnTo>
                  <a:lnTo>
                    <a:pt x="42" y="9"/>
                  </a:lnTo>
                  <a:lnTo>
                    <a:pt x="44" y="5"/>
                  </a:lnTo>
                  <a:lnTo>
                    <a:pt x="52" y="0"/>
                  </a:lnTo>
                  <a:lnTo>
                    <a:pt x="58" y="2"/>
                  </a:lnTo>
                  <a:lnTo>
                    <a:pt x="75" y="9"/>
                  </a:lnTo>
                  <a:lnTo>
                    <a:pt x="80" y="9"/>
                  </a:lnTo>
                  <a:lnTo>
                    <a:pt x="85" y="9"/>
                  </a:lnTo>
                  <a:lnTo>
                    <a:pt x="95" y="6"/>
                  </a:lnTo>
                  <a:lnTo>
                    <a:pt x="100" y="5"/>
                  </a:lnTo>
                  <a:lnTo>
                    <a:pt x="108" y="12"/>
                  </a:lnTo>
                  <a:lnTo>
                    <a:pt x="117" y="18"/>
                  </a:lnTo>
                  <a:lnTo>
                    <a:pt x="122" y="20"/>
                  </a:lnTo>
                  <a:lnTo>
                    <a:pt x="132" y="19"/>
                  </a:lnTo>
                  <a:lnTo>
                    <a:pt x="134" y="22"/>
                  </a:lnTo>
                  <a:lnTo>
                    <a:pt x="131" y="24"/>
                  </a:lnTo>
                  <a:lnTo>
                    <a:pt x="126" y="25"/>
                  </a:lnTo>
                  <a:lnTo>
                    <a:pt x="124" y="27"/>
                  </a:lnTo>
                  <a:lnTo>
                    <a:pt x="122" y="30"/>
                  </a:lnTo>
                  <a:lnTo>
                    <a:pt x="124" y="34"/>
                  </a:lnTo>
                  <a:lnTo>
                    <a:pt x="129" y="37"/>
                  </a:lnTo>
                  <a:lnTo>
                    <a:pt x="143" y="39"/>
                  </a:lnTo>
                  <a:lnTo>
                    <a:pt x="154" y="38"/>
                  </a:lnTo>
                  <a:lnTo>
                    <a:pt x="159" y="31"/>
                  </a:lnTo>
                  <a:lnTo>
                    <a:pt x="164" y="32"/>
                  </a:lnTo>
                  <a:lnTo>
                    <a:pt x="165" y="36"/>
                  </a:lnTo>
                  <a:lnTo>
                    <a:pt x="168" y="38"/>
                  </a:lnTo>
                  <a:lnTo>
                    <a:pt x="173" y="32"/>
                  </a:lnTo>
                  <a:lnTo>
                    <a:pt x="175" y="25"/>
                  </a:lnTo>
                  <a:lnTo>
                    <a:pt x="174" y="15"/>
                  </a:lnTo>
                  <a:lnTo>
                    <a:pt x="176" y="4"/>
                  </a:lnTo>
                  <a:lnTo>
                    <a:pt x="182" y="3"/>
                  </a:lnTo>
                  <a:lnTo>
                    <a:pt x="186" y="4"/>
                  </a:lnTo>
                  <a:lnTo>
                    <a:pt x="197" y="10"/>
                  </a:lnTo>
                  <a:lnTo>
                    <a:pt x="202" y="10"/>
                  </a:lnTo>
                  <a:lnTo>
                    <a:pt x="199" y="23"/>
                  </a:lnTo>
                  <a:lnTo>
                    <a:pt x="192" y="27"/>
                  </a:lnTo>
                  <a:lnTo>
                    <a:pt x="188" y="33"/>
                  </a:lnTo>
                  <a:lnTo>
                    <a:pt x="182" y="35"/>
                  </a:lnTo>
                  <a:lnTo>
                    <a:pt x="181" y="38"/>
                  </a:lnTo>
                  <a:lnTo>
                    <a:pt x="182" y="42"/>
                  </a:lnTo>
                  <a:lnTo>
                    <a:pt x="186" y="45"/>
                  </a:lnTo>
                  <a:lnTo>
                    <a:pt x="188" y="49"/>
                  </a:lnTo>
                  <a:lnTo>
                    <a:pt x="185" y="54"/>
                  </a:lnTo>
                  <a:lnTo>
                    <a:pt x="182" y="55"/>
                  </a:lnTo>
                  <a:lnTo>
                    <a:pt x="180" y="56"/>
                  </a:lnTo>
                  <a:lnTo>
                    <a:pt x="178" y="64"/>
                  </a:lnTo>
                  <a:lnTo>
                    <a:pt x="175" y="70"/>
                  </a:lnTo>
                  <a:lnTo>
                    <a:pt x="178" y="75"/>
                  </a:lnTo>
                  <a:lnTo>
                    <a:pt x="181" y="74"/>
                  </a:lnTo>
                  <a:lnTo>
                    <a:pt x="183" y="76"/>
                  </a:lnTo>
                  <a:lnTo>
                    <a:pt x="180" y="88"/>
                  </a:lnTo>
                  <a:lnTo>
                    <a:pt x="181" y="120"/>
                  </a:lnTo>
                  <a:lnTo>
                    <a:pt x="176" y="126"/>
                  </a:lnTo>
                  <a:lnTo>
                    <a:pt x="170" y="127"/>
                  </a:lnTo>
                  <a:lnTo>
                    <a:pt x="157" y="119"/>
                  </a:lnTo>
                  <a:lnTo>
                    <a:pt x="159" y="114"/>
                  </a:lnTo>
                  <a:lnTo>
                    <a:pt x="161" y="108"/>
                  </a:lnTo>
                  <a:lnTo>
                    <a:pt x="160" y="105"/>
                  </a:lnTo>
                  <a:lnTo>
                    <a:pt x="136" y="106"/>
                  </a:lnTo>
                  <a:lnTo>
                    <a:pt x="129" y="108"/>
                  </a:lnTo>
                  <a:lnTo>
                    <a:pt x="129" y="111"/>
                  </a:lnTo>
                  <a:lnTo>
                    <a:pt x="129" y="117"/>
                  </a:lnTo>
                  <a:lnTo>
                    <a:pt x="125" y="115"/>
                  </a:lnTo>
                  <a:lnTo>
                    <a:pt x="123" y="113"/>
                  </a:lnTo>
                  <a:lnTo>
                    <a:pt x="118" y="112"/>
                  </a:lnTo>
                  <a:lnTo>
                    <a:pt x="115" y="115"/>
                  </a:lnTo>
                  <a:lnTo>
                    <a:pt x="115" y="118"/>
                  </a:lnTo>
                  <a:lnTo>
                    <a:pt x="118" y="123"/>
                  </a:lnTo>
                  <a:lnTo>
                    <a:pt x="120" y="126"/>
                  </a:lnTo>
                  <a:lnTo>
                    <a:pt x="117" y="129"/>
                  </a:lnTo>
                  <a:lnTo>
                    <a:pt x="113" y="129"/>
                  </a:lnTo>
                  <a:lnTo>
                    <a:pt x="107" y="129"/>
                  </a:lnTo>
                  <a:lnTo>
                    <a:pt x="98" y="148"/>
                  </a:lnTo>
                  <a:lnTo>
                    <a:pt x="93" y="169"/>
                  </a:lnTo>
                  <a:lnTo>
                    <a:pt x="94" y="185"/>
                  </a:lnTo>
                  <a:close/>
                </a:path>
              </a:pathLst>
            </a:custGeom>
            <a:solidFill>
              <a:srgbClr val="1DB1E1"/>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33" name="Freeform 17">
              <a:extLst>
                <a:ext uri="{FF2B5EF4-FFF2-40B4-BE49-F238E27FC236}">
                  <a16:creationId xmlns:a16="http://schemas.microsoft.com/office/drawing/2014/main" id="{00000000-0008-0000-0900-00001D7E1200}"/>
                </a:ext>
              </a:extLst>
            </xdr:cNvPr>
            <xdr:cNvSpPr>
              <a:spLocks noChangeAspect="1"/>
            </xdr:cNvSpPr>
          </xdr:nvSpPr>
          <xdr:spPr bwMode="auto">
            <a:xfrm rot="238154">
              <a:off x="2022" y="2239"/>
              <a:ext cx="173" cy="300"/>
            </a:xfrm>
            <a:custGeom>
              <a:avLst/>
              <a:gdLst>
                <a:gd name="T0" fmla="*/ 118 w 139"/>
                <a:gd name="T1" fmla="*/ 1970 h 242"/>
                <a:gd name="T2" fmla="*/ 32 w 139"/>
                <a:gd name="T3" fmla="*/ 1903 h 242"/>
                <a:gd name="T4" fmla="*/ 32 w 139"/>
                <a:gd name="T5" fmla="*/ 1763 h 242"/>
                <a:gd name="T6" fmla="*/ 110 w 139"/>
                <a:gd name="T7" fmla="*/ 1636 h 242"/>
                <a:gd name="T8" fmla="*/ 96 w 139"/>
                <a:gd name="T9" fmla="*/ 1579 h 242"/>
                <a:gd name="T10" fmla="*/ 118 w 139"/>
                <a:gd name="T11" fmla="*/ 1535 h 242"/>
                <a:gd name="T12" fmla="*/ 137 w 139"/>
                <a:gd name="T13" fmla="*/ 1432 h 242"/>
                <a:gd name="T14" fmla="*/ 229 w 139"/>
                <a:gd name="T15" fmla="*/ 1416 h 242"/>
                <a:gd name="T16" fmla="*/ 353 w 139"/>
                <a:gd name="T17" fmla="*/ 1319 h 242"/>
                <a:gd name="T18" fmla="*/ 330 w 139"/>
                <a:gd name="T19" fmla="*/ 1214 h 242"/>
                <a:gd name="T20" fmla="*/ 254 w 139"/>
                <a:gd name="T21" fmla="*/ 1155 h 242"/>
                <a:gd name="T22" fmla="*/ 208 w 139"/>
                <a:gd name="T23" fmla="*/ 1134 h 242"/>
                <a:gd name="T24" fmla="*/ 171 w 139"/>
                <a:gd name="T25" fmla="*/ 1075 h 242"/>
                <a:gd name="T26" fmla="*/ 208 w 139"/>
                <a:gd name="T27" fmla="*/ 976 h 242"/>
                <a:gd name="T28" fmla="*/ 148 w 139"/>
                <a:gd name="T29" fmla="*/ 905 h 242"/>
                <a:gd name="T30" fmla="*/ 0 w 139"/>
                <a:gd name="T31" fmla="*/ 829 h 242"/>
                <a:gd name="T32" fmla="*/ 96 w 139"/>
                <a:gd name="T33" fmla="*/ 682 h 242"/>
                <a:gd name="T34" fmla="*/ 330 w 139"/>
                <a:gd name="T35" fmla="*/ 352 h 242"/>
                <a:gd name="T36" fmla="*/ 411 w 139"/>
                <a:gd name="T37" fmla="*/ 0 h 242"/>
                <a:gd name="T38" fmla="*/ 589 w 139"/>
                <a:gd name="T39" fmla="*/ 0 h 242"/>
                <a:gd name="T40" fmla="*/ 648 w 139"/>
                <a:gd name="T41" fmla="*/ 71 h 242"/>
                <a:gd name="T42" fmla="*/ 825 w 139"/>
                <a:gd name="T43" fmla="*/ 135 h 242"/>
                <a:gd name="T44" fmla="*/ 914 w 139"/>
                <a:gd name="T45" fmla="*/ 167 h 242"/>
                <a:gd name="T46" fmla="*/ 987 w 139"/>
                <a:gd name="T47" fmla="*/ 224 h 242"/>
                <a:gd name="T48" fmla="*/ 1053 w 139"/>
                <a:gd name="T49" fmla="*/ 319 h 242"/>
                <a:gd name="T50" fmla="*/ 1138 w 139"/>
                <a:gd name="T51" fmla="*/ 345 h 242"/>
                <a:gd name="T52" fmla="*/ 1197 w 139"/>
                <a:gd name="T53" fmla="*/ 436 h 242"/>
                <a:gd name="T54" fmla="*/ 1205 w 139"/>
                <a:gd name="T55" fmla="*/ 559 h 242"/>
                <a:gd name="T56" fmla="*/ 1243 w 139"/>
                <a:gd name="T57" fmla="*/ 658 h 242"/>
                <a:gd name="T58" fmla="*/ 1138 w 139"/>
                <a:gd name="T59" fmla="*/ 682 h 242"/>
                <a:gd name="T60" fmla="*/ 1138 w 139"/>
                <a:gd name="T61" fmla="*/ 771 h 242"/>
                <a:gd name="T62" fmla="*/ 1205 w 139"/>
                <a:gd name="T63" fmla="*/ 899 h 242"/>
                <a:gd name="T64" fmla="*/ 1196 w 139"/>
                <a:gd name="T65" fmla="*/ 1012 h 242"/>
                <a:gd name="T66" fmla="*/ 1106 w 139"/>
                <a:gd name="T67" fmla="*/ 1222 h 242"/>
                <a:gd name="T68" fmla="*/ 1113 w 139"/>
                <a:gd name="T69" fmla="*/ 1333 h 242"/>
                <a:gd name="T70" fmla="*/ 1062 w 139"/>
                <a:gd name="T71" fmla="*/ 1440 h 242"/>
                <a:gd name="T72" fmla="*/ 1027 w 139"/>
                <a:gd name="T73" fmla="*/ 1500 h 242"/>
                <a:gd name="T74" fmla="*/ 1050 w 139"/>
                <a:gd name="T75" fmla="*/ 1577 h 242"/>
                <a:gd name="T76" fmla="*/ 961 w 139"/>
                <a:gd name="T77" fmla="*/ 1608 h 242"/>
                <a:gd name="T78" fmla="*/ 872 w 139"/>
                <a:gd name="T79" fmla="*/ 1635 h 242"/>
                <a:gd name="T80" fmla="*/ 853 w 139"/>
                <a:gd name="T81" fmla="*/ 1775 h 242"/>
                <a:gd name="T82" fmla="*/ 869 w 139"/>
                <a:gd name="T83" fmla="*/ 1903 h 242"/>
                <a:gd name="T84" fmla="*/ 869 w 139"/>
                <a:gd name="T85" fmla="*/ 2008 h 242"/>
                <a:gd name="T86" fmla="*/ 733 w 139"/>
                <a:gd name="T87" fmla="*/ 2058 h 242"/>
                <a:gd name="T88" fmla="*/ 609 w 139"/>
                <a:gd name="T89" fmla="*/ 2073 h 242"/>
                <a:gd name="T90" fmla="*/ 546 w 139"/>
                <a:gd name="T91" fmla="*/ 2027 h 242"/>
                <a:gd name="T92" fmla="*/ 512 w 139"/>
                <a:gd name="T93" fmla="*/ 1957 h 242"/>
                <a:gd name="T94" fmla="*/ 393 w 139"/>
                <a:gd name="T95" fmla="*/ 1980 h 242"/>
                <a:gd name="T96" fmla="*/ 213 w 139"/>
                <a:gd name="T97" fmla="*/ 1955 h 242"/>
                <a:gd name="T98" fmla="*/ 148 w 139"/>
                <a:gd name="T99" fmla="*/ 1980 h 242"/>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0" t="0" r="r" b="b"/>
              <a:pathLst>
                <a:path w="139" h="242">
                  <a:moveTo>
                    <a:pt x="13" y="233"/>
                  </a:moveTo>
                  <a:lnTo>
                    <a:pt x="13" y="230"/>
                  </a:lnTo>
                  <a:lnTo>
                    <a:pt x="10" y="227"/>
                  </a:lnTo>
                  <a:lnTo>
                    <a:pt x="4" y="222"/>
                  </a:lnTo>
                  <a:lnTo>
                    <a:pt x="3" y="219"/>
                  </a:lnTo>
                  <a:lnTo>
                    <a:pt x="4" y="206"/>
                  </a:lnTo>
                  <a:lnTo>
                    <a:pt x="6" y="202"/>
                  </a:lnTo>
                  <a:lnTo>
                    <a:pt x="12" y="191"/>
                  </a:lnTo>
                  <a:lnTo>
                    <a:pt x="13" y="187"/>
                  </a:lnTo>
                  <a:lnTo>
                    <a:pt x="11" y="185"/>
                  </a:lnTo>
                  <a:lnTo>
                    <a:pt x="10" y="181"/>
                  </a:lnTo>
                  <a:lnTo>
                    <a:pt x="13" y="179"/>
                  </a:lnTo>
                  <a:lnTo>
                    <a:pt x="14" y="169"/>
                  </a:lnTo>
                  <a:lnTo>
                    <a:pt x="15" y="167"/>
                  </a:lnTo>
                  <a:lnTo>
                    <a:pt x="20" y="167"/>
                  </a:lnTo>
                  <a:lnTo>
                    <a:pt x="26" y="165"/>
                  </a:lnTo>
                  <a:lnTo>
                    <a:pt x="31" y="162"/>
                  </a:lnTo>
                  <a:lnTo>
                    <a:pt x="39" y="153"/>
                  </a:lnTo>
                  <a:lnTo>
                    <a:pt x="40" y="148"/>
                  </a:lnTo>
                  <a:lnTo>
                    <a:pt x="37" y="142"/>
                  </a:lnTo>
                  <a:lnTo>
                    <a:pt x="32" y="135"/>
                  </a:lnTo>
                  <a:lnTo>
                    <a:pt x="28" y="135"/>
                  </a:lnTo>
                  <a:lnTo>
                    <a:pt x="26" y="133"/>
                  </a:lnTo>
                  <a:lnTo>
                    <a:pt x="23" y="132"/>
                  </a:lnTo>
                  <a:lnTo>
                    <a:pt x="20" y="130"/>
                  </a:lnTo>
                  <a:lnTo>
                    <a:pt x="19" y="126"/>
                  </a:lnTo>
                  <a:lnTo>
                    <a:pt x="20" y="121"/>
                  </a:lnTo>
                  <a:lnTo>
                    <a:pt x="23" y="114"/>
                  </a:lnTo>
                  <a:lnTo>
                    <a:pt x="22" y="109"/>
                  </a:lnTo>
                  <a:lnTo>
                    <a:pt x="17" y="106"/>
                  </a:lnTo>
                  <a:lnTo>
                    <a:pt x="10" y="103"/>
                  </a:lnTo>
                  <a:lnTo>
                    <a:pt x="0" y="97"/>
                  </a:lnTo>
                  <a:lnTo>
                    <a:pt x="3" y="88"/>
                  </a:lnTo>
                  <a:lnTo>
                    <a:pt x="11" y="80"/>
                  </a:lnTo>
                  <a:lnTo>
                    <a:pt x="30" y="58"/>
                  </a:lnTo>
                  <a:lnTo>
                    <a:pt x="37" y="41"/>
                  </a:lnTo>
                  <a:lnTo>
                    <a:pt x="44" y="18"/>
                  </a:lnTo>
                  <a:lnTo>
                    <a:pt x="46" y="0"/>
                  </a:lnTo>
                  <a:lnTo>
                    <a:pt x="55" y="4"/>
                  </a:lnTo>
                  <a:lnTo>
                    <a:pt x="66" y="0"/>
                  </a:lnTo>
                  <a:lnTo>
                    <a:pt x="72" y="3"/>
                  </a:lnTo>
                  <a:lnTo>
                    <a:pt x="73" y="8"/>
                  </a:lnTo>
                  <a:lnTo>
                    <a:pt x="86" y="14"/>
                  </a:lnTo>
                  <a:lnTo>
                    <a:pt x="92" y="15"/>
                  </a:lnTo>
                  <a:lnTo>
                    <a:pt x="100" y="21"/>
                  </a:lnTo>
                  <a:lnTo>
                    <a:pt x="103" y="19"/>
                  </a:lnTo>
                  <a:lnTo>
                    <a:pt x="108" y="21"/>
                  </a:lnTo>
                  <a:lnTo>
                    <a:pt x="110" y="26"/>
                  </a:lnTo>
                  <a:lnTo>
                    <a:pt x="116" y="31"/>
                  </a:lnTo>
                  <a:lnTo>
                    <a:pt x="118" y="37"/>
                  </a:lnTo>
                  <a:lnTo>
                    <a:pt x="121" y="40"/>
                  </a:lnTo>
                  <a:lnTo>
                    <a:pt x="128" y="40"/>
                  </a:lnTo>
                  <a:lnTo>
                    <a:pt x="130" y="47"/>
                  </a:lnTo>
                  <a:lnTo>
                    <a:pt x="134" y="51"/>
                  </a:lnTo>
                  <a:lnTo>
                    <a:pt x="138" y="58"/>
                  </a:lnTo>
                  <a:lnTo>
                    <a:pt x="135" y="65"/>
                  </a:lnTo>
                  <a:lnTo>
                    <a:pt x="139" y="69"/>
                  </a:lnTo>
                  <a:lnTo>
                    <a:pt x="139" y="77"/>
                  </a:lnTo>
                  <a:lnTo>
                    <a:pt x="135" y="82"/>
                  </a:lnTo>
                  <a:lnTo>
                    <a:pt x="128" y="80"/>
                  </a:lnTo>
                  <a:lnTo>
                    <a:pt x="127" y="83"/>
                  </a:lnTo>
                  <a:lnTo>
                    <a:pt x="128" y="90"/>
                  </a:lnTo>
                  <a:lnTo>
                    <a:pt x="130" y="100"/>
                  </a:lnTo>
                  <a:lnTo>
                    <a:pt x="135" y="105"/>
                  </a:lnTo>
                  <a:lnTo>
                    <a:pt x="138" y="111"/>
                  </a:lnTo>
                  <a:lnTo>
                    <a:pt x="133" y="118"/>
                  </a:lnTo>
                  <a:lnTo>
                    <a:pt x="129" y="127"/>
                  </a:lnTo>
                  <a:lnTo>
                    <a:pt x="124" y="143"/>
                  </a:lnTo>
                  <a:lnTo>
                    <a:pt x="125" y="149"/>
                  </a:lnTo>
                  <a:lnTo>
                    <a:pt x="125" y="156"/>
                  </a:lnTo>
                  <a:lnTo>
                    <a:pt x="125" y="160"/>
                  </a:lnTo>
                  <a:lnTo>
                    <a:pt x="119" y="168"/>
                  </a:lnTo>
                  <a:lnTo>
                    <a:pt x="116" y="171"/>
                  </a:lnTo>
                  <a:lnTo>
                    <a:pt x="115" y="175"/>
                  </a:lnTo>
                  <a:lnTo>
                    <a:pt x="116" y="177"/>
                  </a:lnTo>
                  <a:lnTo>
                    <a:pt x="117" y="184"/>
                  </a:lnTo>
                  <a:lnTo>
                    <a:pt x="114" y="187"/>
                  </a:lnTo>
                  <a:lnTo>
                    <a:pt x="107" y="187"/>
                  </a:lnTo>
                  <a:lnTo>
                    <a:pt x="105" y="188"/>
                  </a:lnTo>
                  <a:lnTo>
                    <a:pt x="98" y="190"/>
                  </a:lnTo>
                  <a:lnTo>
                    <a:pt x="99" y="197"/>
                  </a:lnTo>
                  <a:lnTo>
                    <a:pt x="96" y="207"/>
                  </a:lnTo>
                  <a:lnTo>
                    <a:pt x="95" y="214"/>
                  </a:lnTo>
                  <a:lnTo>
                    <a:pt x="97" y="222"/>
                  </a:lnTo>
                  <a:lnTo>
                    <a:pt x="99" y="228"/>
                  </a:lnTo>
                  <a:lnTo>
                    <a:pt x="97" y="234"/>
                  </a:lnTo>
                  <a:lnTo>
                    <a:pt x="91" y="242"/>
                  </a:lnTo>
                  <a:lnTo>
                    <a:pt x="82" y="240"/>
                  </a:lnTo>
                  <a:lnTo>
                    <a:pt x="75" y="237"/>
                  </a:lnTo>
                  <a:lnTo>
                    <a:pt x="68" y="242"/>
                  </a:lnTo>
                  <a:lnTo>
                    <a:pt x="63" y="240"/>
                  </a:lnTo>
                  <a:lnTo>
                    <a:pt x="61" y="236"/>
                  </a:lnTo>
                  <a:lnTo>
                    <a:pt x="59" y="231"/>
                  </a:lnTo>
                  <a:lnTo>
                    <a:pt x="57" y="229"/>
                  </a:lnTo>
                  <a:lnTo>
                    <a:pt x="54" y="229"/>
                  </a:lnTo>
                  <a:lnTo>
                    <a:pt x="44" y="231"/>
                  </a:lnTo>
                  <a:lnTo>
                    <a:pt x="34" y="229"/>
                  </a:lnTo>
                  <a:lnTo>
                    <a:pt x="24" y="228"/>
                  </a:lnTo>
                  <a:lnTo>
                    <a:pt x="21" y="231"/>
                  </a:lnTo>
                  <a:lnTo>
                    <a:pt x="17" y="231"/>
                  </a:lnTo>
                  <a:lnTo>
                    <a:pt x="13" y="233"/>
                  </a:lnTo>
                  <a:close/>
                </a:path>
              </a:pathLst>
            </a:custGeom>
            <a:solidFill>
              <a:srgbClr val="1DB1E1"/>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34" name="Freeform 18">
              <a:extLst>
                <a:ext uri="{FF2B5EF4-FFF2-40B4-BE49-F238E27FC236}">
                  <a16:creationId xmlns:a16="http://schemas.microsoft.com/office/drawing/2014/main" id="{00000000-0008-0000-0900-00001E7E1200}"/>
                </a:ext>
              </a:extLst>
            </xdr:cNvPr>
            <xdr:cNvSpPr>
              <a:spLocks noChangeAspect="1"/>
            </xdr:cNvSpPr>
          </xdr:nvSpPr>
          <xdr:spPr bwMode="auto">
            <a:xfrm rot="238154">
              <a:off x="1930" y="2483"/>
              <a:ext cx="335" cy="267"/>
            </a:xfrm>
            <a:custGeom>
              <a:avLst/>
              <a:gdLst>
                <a:gd name="T0" fmla="*/ 1941 w 271"/>
                <a:gd name="T1" fmla="*/ 1689 h 216"/>
                <a:gd name="T2" fmla="*/ 1838 w 271"/>
                <a:gd name="T3" fmla="*/ 1658 h 216"/>
                <a:gd name="T4" fmla="*/ 1786 w 271"/>
                <a:gd name="T5" fmla="*/ 1609 h 216"/>
                <a:gd name="T6" fmla="*/ 1720 w 271"/>
                <a:gd name="T7" fmla="*/ 1591 h 216"/>
                <a:gd name="T8" fmla="*/ 1734 w 271"/>
                <a:gd name="T9" fmla="*/ 1671 h 216"/>
                <a:gd name="T10" fmla="*/ 1682 w 271"/>
                <a:gd name="T11" fmla="*/ 1734 h 216"/>
                <a:gd name="T12" fmla="*/ 1618 w 271"/>
                <a:gd name="T13" fmla="*/ 1799 h 216"/>
                <a:gd name="T14" fmla="*/ 1561 w 271"/>
                <a:gd name="T15" fmla="*/ 1769 h 216"/>
                <a:gd name="T16" fmla="*/ 1455 w 271"/>
                <a:gd name="T17" fmla="*/ 1671 h 216"/>
                <a:gd name="T18" fmla="*/ 1366 w 271"/>
                <a:gd name="T19" fmla="*/ 1598 h 216"/>
                <a:gd name="T20" fmla="*/ 1313 w 271"/>
                <a:gd name="T21" fmla="*/ 1514 h 216"/>
                <a:gd name="T22" fmla="*/ 1137 w 271"/>
                <a:gd name="T23" fmla="*/ 1279 h 216"/>
                <a:gd name="T24" fmla="*/ 1022 w 271"/>
                <a:gd name="T25" fmla="*/ 1203 h 216"/>
                <a:gd name="T26" fmla="*/ 888 w 271"/>
                <a:gd name="T27" fmla="*/ 1225 h 216"/>
                <a:gd name="T28" fmla="*/ 817 w 271"/>
                <a:gd name="T29" fmla="*/ 1331 h 216"/>
                <a:gd name="T30" fmla="*/ 693 w 271"/>
                <a:gd name="T31" fmla="*/ 1341 h 216"/>
                <a:gd name="T32" fmla="*/ 661 w 271"/>
                <a:gd name="T33" fmla="*/ 1389 h 216"/>
                <a:gd name="T34" fmla="*/ 493 w 271"/>
                <a:gd name="T35" fmla="*/ 1477 h 216"/>
                <a:gd name="T36" fmla="*/ 433 w 271"/>
                <a:gd name="T37" fmla="*/ 1549 h 216"/>
                <a:gd name="T38" fmla="*/ 246 w 271"/>
                <a:gd name="T39" fmla="*/ 1581 h 216"/>
                <a:gd name="T40" fmla="*/ 101 w 271"/>
                <a:gd name="T41" fmla="*/ 1618 h 216"/>
                <a:gd name="T42" fmla="*/ 49 w 271"/>
                <a:gd name="T43" fmla="*/ 1514 h 216"/>
                <a:gd name="T44" fmla="*/ 49 w 271"/>
                <a:gd name="T45" fmla="*/ 1366 h 216"/>
                <a:gd name="T46" fmla="*/ 0 w 271"/>
                <a:gd name="T47" fmla="*/ 1169 h 216"/>
                <a:gd name="T48" fmla="*/ 82 w 271"/>
                <a:gd name="T49" fmla="*/ 973 h 216"/>
                <a:gd name="T50" fmla="*/ 93 w 271"/>
                <a:gd name="T51" fmla="*/ 904 h 216"/>
                <a:gd name="T52" fmla="*/ 61 w 271"/>
                <a:gd name="T53" fmla="*/ 852 h 216"/>
                <a:gd name="T54" fmla="*/ 110 w 271"/>
                <a:gd name="T55" fmla="*/ 817 h 216"/>
                <a:gd name="T56" fmla="*/ 246 w 271"/>
                <a:gd name="T57" fmla="*/ 802 h 216"/>
                <a:gd name="T58" fmla="*/ 283 w 271"/>
                <a:gd name="T59" fmla="*/ 753 h 216"/>
                <a:gd name="T60" fmla="*/ 376 w 271"/>
                <a:gd name="T61" fmla="*/ 769 h 216"/>
                <a:gd name="T62" fmla="*/ 461 w 271"/>
                <a:gd name="T63" fmla="*/ 712 h 216"/>
                <a:gd name="T64" fmla="*/ 454 w 271"/>
                <a:gd name="T65" fmla="*/ 553 h 216"/>
                <a:gd name="T66" fmla="*/ 515 w 271"/>
                <a:gd name="T67" fmla="*/ 478 h 216"/>
                <a:gd name="T68" fmla="*/ 629 w 271"/>
                <a:gd name="T69" fmla="*/ 304 h 216"/>
                <a:gd name="T70" fmla="*/ 661 w 271"/>
                <a:gd name="T71" fmla="*/ 283 h 216"/>
                <a:gd name="T72" fmla="*/ 712 w 271"/>
                <a:gd name="T73" fmla="*/ 257 h 216"/>
                <a:gd name="T74" fmla="*/ 880 w 271"/>
                <a:gd name="T75" fmla="*/ 283 h 216"/>
                <a:gd name="T76" fmla="*/ 991 w 271"/>
                <a:gd name="T77" fmla="*/ 269 h 216"/>
                <a:gd name="T78" fmla="*/ 1025 w 271"/>
                <a:gd name="T79" fmla="*/ 319 h 216"/>
                <a:gd name="T80" fmla="*/ 1087 w 271"/>
                <a:gd name="T81" fmla="*/ 376 h 216"/>
                <a:gd name="T82" fmla="*/ 1198 w 271"/>
                <a:gd name="T83" fmla="*/ 362 h 216"/>
                <a:gd name="T84" fmla="*/ 1331 w 271"/>
                <a:gd name="T85" fmla="*/ 313 h 216"/>
                <a:gd name="T86" fmla="*/ 1331 w 271"/>
                <a:gd name="T87" fmla="*/ 208 h 216"/>
                <a:gd name="T88" fmla="*/ 1313 w 271"/>
                <a:gd name="T89" fmla="*/ 82 h 216"/>
                <a:gd name="T90" fmla="*/ 1381 w 271"/>
                <a:gd name="T91" fmla="*/ 1 h 216"/>
                <a:gd name="T92" fmla="*/ 1455 w 271"/>
                <a:gd name="T93" fmla="*/ 49 h 216"/>
                <a:gd name="T94" fmla="*/ 1544 w 271"/>
                <a:gd name="T95" fmla="*/ 101 h 216"/>
                <a:gd name="T96" fmla="*/ 1645 w 271"/>
                <a:gd name="T97" fmla="*/ 142 h 216"/>
                <a:gd name="T98" fmla="*/ 1759 w 271"/>
                <a:gd name="T99" fmla="*/ 115 h 216"/>
                <a:gd name="T100" fmla="*/ 1848 w 271"/>
                <a:gd name="T101" fmla="*/ 218 h 216"/>
                <a:gd name="T102" fmla="*/ 1946 w 271"/>
                <a:gd name="T103" fmla="*/ 333 h 216"/>
                <a:gd name="T104" fmla="*/ 2025 w 271"/>
                <a:gd name="T105" fmla="*/ 269 h 216"/>
                <a:gd name="T106" fmla="*/ 2077 w 271"/>
                <a:gd name="T107" fmla="*/ 155 h 216"/>
                <a:gd name="T108" fmla="*/ 2116 w 271"/>
                <a:gd name="T109" fmla="*/ 136 h 216"/>
                <a:gd name="T110" fmla="*/ 2166 w 271"/>
                <a:gd name="T111" fmla="*/ 367 h 216"/>
                <a:gd name="T112" fmla="*/ 2257 w 271"/>
                <a:gd name="T113" fmla="*/ 904 h 216"/>
                <a:gd name="T114" fmla="*/ 2187 w 271"/>
                <a:gd name="T115" fmla="*/ 1433 h 216"/>
                <a:gd name="T116" fmla="*/ 2110 w 271"/>
                <a:gd name="T117" fmla="*/ 1566 h 216"/>
                <a:gd name="T118" fmla="*/ 2053 w 271"/>
                <a:gd name="T119" fmla="*/ 1591 h 216"/>
                <a:gd name="T120" fmla="*/ 2006 w 271"/>
                <a:gd name="T121" fmla="*/ 1630 h 216"/>
                <a:gd name="T122" fmla="*/ 1967 w 271"/>
                <a:gd name="T123" fmla="*/ 1663 h 21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271" h="216">
                  <a:moveTo>
                    <a:pt x="236" y="205"/>
                  </a:moveTo>
                  <a:lnTo>
                    <a:pt x="233" y="203"/>
                  </a:lnTo>
                  <a:lnTo>
                    <a:pt x="225" y="202"/>
                  </a:lnTo>
                  <a:lnTo>
                    <a:pt x="221" y="198"/>
                  </a:lnTo>
                  <a:lnTo>
                    <a:pt x="218" y="196"/>
                  </a:lnTo>
                  <a:lnTo>
                    <a:pt x="214" y="193"/>
                  </a:lnTo>
                  <a:lnTo>
                    <a:pt x="210" y="192"/>
                  </a:lnTo>
                  <a:lnTo>
                    <a:pt x="206" y="191"/>
                  </a:lnTo>
                  <a:lnTo>
                    <a:pt x="207" y="198"/>
                  </a:lnTo>
                  <a:lnTo>
                    <a:pt x="208" y="201"/>
                  </a:lnTo>
                  <a:lnTo>
                    <a:pt x="206" y="204"/>
                  </a:lnTo>
                  <a:lnTo>
                    <a:pt x="202" y="208"/>
                  </a:lnTo>
                  <a:lnTo>
                    <a:pt x="199" y="214"/>
                  </a:lnTo>
                  <a:lnTo>
                    <a:pt x="194" y="216"/>
                  </a:lnTo>
                  <a:lnTo>
                    <a:pt x="190" y="213"/>
                  </a:lnTo>
                  <a:lnTo>
                    <a:pt x="187" y="212"/>
                  </a:lnTo>
                  <a:lnTo>
                    <a:pt x="182" y="209"/>
                  </a:lnTo>
                  <a:lnTo>
                    <a:pt x="175" y="201"/>
                  </a:lnTo>
                  <a:lnTo>
                    <a:pt x="169" y="196"/>
                  </a:lnTo>
                  <a:lnTo>
                    <a:pt x="164" y="192"/>
                  </a:lnTo>
                  <a:lnTo>
                    <a:pt x="159" y="185"/>
                  </a:lnTo>
                  <a:lnTo>
                    <a:pt x="158" y="182"/>
                  </a:lnTo>
                  <a:lnTo>
                    <a:pt x="152" y="168"/>
                  </a:lnTo>
                  <a:lnTo>
                    <a:pt x="137" y="154"/>
                  </a:lnTo>
                  <a:lnTo>
                    <a:pt x="129" y="148"/>
                  </a:lnTo>
                  <a:lnTo>
                    <a:pt x="122" y="145"/>
                  </a:lnTo>
                  <a:lnTo>
                    <a:pt x="115" y="145"/>
                  </a:lnTo>
                  <a:lnTo>
                    <a:pt x="107" y="147"/>
                  </a:lnTo>
                  <a:lnTo>
                    <a:pt x="103" y="150"/>
                  </a:lnTo>
                  <a:lnTo>
                    <a:pt x="98" y="159"/>
                  </a:lnTo>
                  <a:lnTo>
                    <a:pt x="92" y="160"/>
                  </a:lnTo>
                  <a:lnTo>
                    <a:pt x="83" y="160"/>
                  </a:lnTo>
                  <a:lnTo>
                    <a:pt x="82" y="162"/>
                  </a:lnTo>
                  <a:lnTo>
                    <a:pt x="79" y="167"/>
                  </a:lnTo>
                  <a:lnTo>
                    <a:pt x="72" y="172"/>
                  </a:lnTo>
                  <a:lnTo>
                    <a:pt x="60" y="177"/>
                  </a:lnTo>
                  <a:lnTo>
                    <a:pt x="59" y="180"/>
                  </a:lnTo>
                  <a:lnTo>
                    <a:pt x="52" y="186"/>
                  </a:lnTo>
                  <a:lnTo>
                    <a:pt x="45" y="188"/>
                  </a:lnTo>
                  <a:lnTo>
                    <a:pt x="29" y="190"/>
                  </a:lnTo>
                  <a:lnTo>
                    <a:pt x="21" y="191"/>
                  </a:lnTo>
                  <a:lnTo>
                    <a:pt x="12" y="194"/>
                  </a:lnTo>
                  <a:lnTo>
                    <a:pt x="4" y="190"/>
                  </a:lnTo>
                  <a:lnTo>
                    <a:pt x="6" y="182"/>
                  </a:lnTo>
                  <a:lnTo>
                    <a:pt x="7" y="174"/>
                  </a:lnTo>
                  <a:lnTo>
                    <a:pt x="6" y="164"/>
                  </a:lnTo>
                  <a:lnTo>
                    <a:pt x="8" y="147"/>
                  </a:lnTo>
                  <a:lnTo>
                    <a:pt x="0" y="140"/>
                  </a:lnTo>
                  <a:lnTo>
                    <a:pt x="1" y="133"/>
                  </a:lnTo>
                  <a:lnTo>
                    <a:pt x="10" y="117"/>
                  </a:lnTo>
                  <a:lnTo>
                    <a:pt x="12" y="112"/>
                  </a:lnTo>
                  <a:lnTo>
                    <a:pt x="11" y="108"/>
                  </a:lnTo>
                  <a:lnTo>
                    <a:pt x="8" y="104"/>
                  </a:lnTo>
                  <a:lnTo>
                    <a:pt x="7" y="102"/>
                  </a:lnTo>
                  <a:lnTo>
                    <a:pt x="9" y="100"/>
                  </a:lnTo>
                  <a:lnTo>
                    <a:pt x="13" y="98"/>
                  </a:lnTo>
                  <a:lnTo>
                    <a:pt x="23" y="97"/>
                  </a:lnTo>
                  <a:lnTo>
                    <a:pt x="29" y="96"/>
                  </a:lnTo>
                  <a:lnTo>
                    <a:pt x="32" y="97"/>
                  </a:lnTo>
                  <a:lnTo>
                    <a:pt x="34" y="91"/>
                  </a:lnTo>
                  <a:lnTo>
                    <a:pt x="36" y="90"/>
                  </a:lnTo>
                  <a:lnTo>
                    <a:pt x="45" y="92"/>
                  </a:lnTo>
                  <a:lnTo>
                    <a:pt x="53" y="90"/>
                  </a:lnTo>
                  <a:lnTo>
                    <a:pt x="55" y="86"/>
                  </a:lnTo>
                  <a:lnTo>
                    <a:pt x="50" y="71"/>
                  </a:lnTo>
                  <a:lnTo>
                    <a:pt x="54" y="66"/>
                  </a:lnTo>
                  <a:lnTo>
                    <a:pt x="58" y="63"/>
                  </a:lnTo>
                  <a:lnTo>
                    <a:pt x="62" y="57"/>
                  </a:lnTo>
                  <a:lnTo>
                    <a:pt x="64" y="52"/>
                  </a:lnTo>
                  <a:lnTo>
                    <a:pt x="75" y="36"/>
                  </a:lnTo>
                  <a:lnTo>
                    <a:pt x="79" y="34"/>
                  </a:lnTo>
                  <a:lnTo>
                    <a:pt x="83" y="34"/>
                  </a:lnTo>
                  <a:lnTo>
                    <a:pt x="86" y="31"/>
                  </a:lnTo>
                  <a:lnTo>
                    <a:pt x="96" y="32"/>
                  </a:lnTo>
                  <a:lnTo>
                    <a:pt x="106" y="34"/>
                  </a:lnTo>
                  <a:lnTo>
                    <a:pt x="116" y="32"/>
                  </a:lnTo>
                  <a:lnTo>
                    <a:pt x="119" y="32"/>
                  </a:lnTo>
                  <a:lnTo>
                    <a:pt x="121" y="34"/>
                  </a:lnTo>
                  <a:lnTo>
                    <a:pt x="123" y="39"/>
                  </a:lnTo>
                  <a:lnTo>
                    <a:pt x="125" y="43"/>
                  </a:lnTo>
                  <a:lnTo>
                    <a:pt x="130" y="45"/>
                  </a:lnTo>
                  <a:lnTo>
                    <a:pt x="137" y="40"/>
                  </a:lnTo>
                  <a:lnTo>
                    <a:pt x="144" y="43"/>
                  </a:lnTo>
                  <a:lnTo>
                    <a:pt x="153" y="45"/>
                  </a:lnTo>
                  <a:lnTo>
                    <a:pt x="159" y="37"/>
                  </a:lnTo>
                  <a:lnTo>
                    <a:pt x="161" y="31"/>
                  </a:lnTo>
                  <a:lnTo>
                    <a:pt x="159" y="25"/>
                  </a:lnTo>
                  <a:lnTo>
                    <a:pt x="157" y="17"/>
                  </a:lnTo>
                  <a:lnTo>
                    <a:pt x="158" y="10"/>
                  </a:lnTo>
                  <a:lnTo>
                    <a:pt x="161" y="0"/>
                  </a:lnTo>
                  <a:lnTo>
                    <a:pt x="166" y="1"/>
                  </a:lnTo>
                  <a:lnTo>
                    <a:pt x="170" y="3"/>
                  </a:lnTo>
                  <a:lnTo>
                    <a:pt x="175" y="6"/>
                  </a:lnTo>
                  <a:lnTo>
                    <a:pt x="178" y="5"/>
                  </a:lnTo>
                  <a:lnTo>
                    <a:pt x="185" y="12"/>
                  </a:lnTo>
                  <a:lnTo>
                    <a:pt x="193" y="13"/>
                  </a:lnTo>
                  <a:lnTo>
                    <a:pt x="197" y="17"/>
                  </a:lnTo>
                  <a:lnTo>
                    <a:pt x="205" y="16"/>
                  </a:lnTo>
                  <a:lnTo>
                    <a:pt x="211" y="14"/>
                  </a:lnTo>
                  <a:lnTo>
                    <a:pt x="215" y="16"/>
                  </a:lnTo>
                  <a:lnTo>
                    <a:pt x="222" y="26"/>
                  </a:lnTo>
                  <a:lnTo>
                    <a:pt x="226" y="39"/>
                  </a:lnTo>
                  <a:lnTo>
                    <a:pt x="234" y="40"/>
                  </a:lnTo>
                  <a:lnTo>
                    <a:pt x="234" y="34"/>
                  </a:lnTo>
                  <a:lnTo>
                    <a:pt x="243" y="32"/>
                  </a:lnTo>
                  <a:lnTo>
                    <a:pt x="245" y="22"/>
                  </a:lnTo>
                  <a:lnTo>
                    <a:pt x="249" y="19"/>
                  </a:lnTo>
                  <a:lnTo>
                    <a:pt x="251" y="16"/>
                  </a:lnTo>
                  <a:lnTo>
                    <a:pt x="254" y="16"/>
                  </a:lnTo>
                  <a:lnTo>
                    <a:pt x="254" y="17"/>
                  </a:lnTo>
                  <a:lnTo>
                    <a:pt x="260" y="44"/>
                  </a:lnTo>
                  <a:lnTo>
                    <a:pt x="268" y="74"/>
                  </a:lnTo>
                  <a:lnTo>
                    <a:pt x="271" y="108"/>
                  </a:lnTo>
                  <a:lnTo>
                    <a:pt x="268" y="133"/>
                  </a:lnTo>
                  <a:lnTo>
                    <a:pt x="262" y="172"/>
                  </a:lnTo>
                  <a:lnTo>
                    <a:pt x="258" y="186"/>
                  </a:lnTo>
                  <a:lnTo>
                    <a:pt x="253" y="188"/>
                  </a:lnTo>
                  <a:lnTo>
                    <a:pt x="248" y="189"/>
                  </a:lnTo>
                  <a:lnTo>
                    <a:pt x="246" y="191"/>
                  </a:lnTo>
                  <a:lnTo>
                    <a:pt x="243" y="195"/>
                  </a:lnTo>
                  <a:lnTo>
                    <a:pt x="241" y="196"/>
                  </a:lnTo>
                  <a:lnTo>
                    <a:pt x="237" y="198"/>
                  </a:lnTo>
                  <a:lnTo>
                    <a:pt x="236" y="200"/>
                  </a:lnTo>
                  <a:lnTo>
                    <a:pt x="236" y="205"/>
                  </a:lnTo>
                  <a:close/>
                </a:path>
              </a:pathLst>
            </a:custGeom>
            <a:solidFill>
              <a:srgbClr val="1DB1E1"/>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35" name="Freeform 19">
              <a:extLst>
                <a:ext uri="{FF2B5EF4-FFF2-40B4-BE49-F238E27FC236}">
                  <a16:creationId xmlns:a16="http://schemas.microsoft.com/office/drawing/2014/main" id="{00000000-0008-0000-0900-00001F7E1200}"/>
                </a:ext>
              </a:extLst>
            </xdr:cNvPr>
            <xdr:cNvSpPr>
              <a:spLocks noChangeAspect="1"/>
            </xdr:cNvSpPr>
          </xdr:nvSpPr>
          <xdr:spPr bwMode="auto">
            <a:xfrm rot="238154">
              <a:off x="2008" y="2695"/>
              <a:ext cx="209" cy="279"/>
            </a:xfrm>
            <a:custGeom>
              <a:avLst/>
              <a:gdLst>
                <a:gd name="T0" fmla="*/ 1365 w 169"/>
                <a:gd name="T1" fmla="*/ 3563 h 210"/>
                <a:gd name="T2" fmla="*/ 1343 w 169"/>
                <a:gd name="T3" fmla="*/ 3582 h 210"/>
                <a:gd name="T4" fmla="*/ 1275 w 169"/>
                <a:gd name="T5" fmla="*/ 3488 h 210"/>
                <a:gd name="T6" fmla="*/ 1248 w 169"/>
                <a:gd name="T7" fmla="*/ 3275 h 210"/>
                <a:gd name="T8" fmla="*/ 1135 w 169"/>
                <a:gd name="T9" fmla="*/ 3227 h 210"/>
                <a:gd name="T10" fmla="*/ 1047 w 169"/>
                <a:gd name="T11" fmla="*/ 3224 h 210"/>
                <a:gd name="T12" fmla="*/ 1028 w 169"/>
                <a:gd name="T13" fmla="*/ 3127 h 210"/>
                <a:gd name="T14" fmla="*/ 968 w 169"/>
                <a:gd name="T15" fmla="*/ 3046 h 210"/>
                <a:gd name="T16" fmla="*/ 858 w 169"/>
                <a:gd name="T17" fmla="*/ 3032 h 210"/>
                <a:gd name="T18" fmla="*/ 747 w 169"/>
                <a:gd name="T19" fmla="*/ 3175 h 210"/>
                <a:gd name="T20" fmla="*/ 664 w 169"/>
                <a:gd name="T21" fmla="*/ 3250 h 210"/>
                <a:gd name="T22" fmla="*/ 601 w 169"/>
                <a:gd name="T23" fmla="*/ 3288 h 210"/>
                <a:gd name="T24" fmla="*/ 537 w 169"/>
                <a:gd name="T25" fmla="*/ 3288 h 210"/>
                <a:gd name="T26" fmla="*/ 465 w 169"/>
                <a:gd name="T27" fmla="*/ 3227 h 210"/>
                <a:gd name="T28" fmla="*/ 388 w 169"/>
                <a:gd name="T29" fmla="*/ 3084 h 210"/>
                <a:gd name="T30" fmla="*/ 284 w 169"/>
                <a:gd name="T31" fmla="*/ 2932 h 210"/>
                <a:gd name="T32" fmla="*/ 205 w 169"/>
                <a:gd name="T33" fmla="*/ 2696 h 210"/>
                <a:gd name="T34" fmla="*/ 125 w 169"/>
                <a:gd name="T35" fmla="*/ 2596 h 210"/>
                <a:gd name="T36" fmla="*/ 61 w 169"/>
                <a:gd name="T37" fmla="*/ 2512 h 210"/>
                <a:gd name="T38" fmla="*/ 40 w 169"/>
                <a:gd name="T39" fmla="*/ 2446 h 210"/>
                <a:gd name="T40" fmla="*/ 1 w 169"/>
                <a:gd name="T41" fmla="*/ 2332 h 210"/>
                <a:gd name="T42" fmla="*/ 0 w 169"/>
                <a:gd name="T43" fmla="*/ 2182 h 210"/>
                <a:gd name="T44" fmla="*/ 125 w 169"/>
                <a:gd name="T45" fmla="*/ 2192 h 210"/>
                <a:gd name="T46" fmla="*/ 205 w 169"/>
                <a:gd name="T47" fmla="*/ 1976 h 210"/>
                <a:gd name="T48" fmla="*/ 225 w 169"/>
                <a:gd name="T49" fmla="*/ 1828 h 210"/>
                <a:gd name="T50" fmla="*/ 318 w 169"/>
                <a:gd name="T51" fmla="*/ 1871 h 210"/>
                <a:gd name="T52" fmla="*/ 388 w 169"/>
                <a:gd name="T53" fmla="*/ 1718 h 210"/>
                <a:gd name="T54" fmla="*/ 418 w 169"/>
                <a:gd name="T55" fmla="*/ 1726 h 210"/>
                <a:gd name="T56" fmla="*/ 480 w 169"/>
                <a:gd name="T57" fmla="*/ 1650 h 210"/>
                <a:gd name="T58" fmla="*/ 517 w 169"/>
                <a:gd name="T59" fmla="*/ 1618 h 210"/>
                <a:gd name="T60" fmla="*/ 600 w 169"/>
                <a:gd name="T61" fmla="*/ 1601 h 210"/>
                <a:gd name="T62" fmla="*/ 604 w 169"/>
                <a:gd name="T63" fmla="*/ 1363 h 210"/>
                <a:gd name="T64" fmla="*/ 650 w 169"/>
                <a:gd name="T65" fmla="*/ 1293 h 210"/>
                <a:gd name="T66" fmla="*/ 633 w 169"/>
                <a:gd name="T67" fmla="*/ 978 h 210"/>
                <a:gd name="T68" fmla="*/ 633 w 169"/>
                <a:gd name="T69" fmla="*/ 736 h 210"/>
                <a:gd name="T70" fmla="*/ 685 w 169"/>
                <a:gd name="T71" fmla="*/ 627 h 210"/>
                <a:gd name="T72" fmla="*/ 664 w 169"/>
                <a:gd name="T73" fmla="*/ 399 h 210"/>
                <a:gd name="T74" fmla="*/ 685 w 169"/>
                <a:gd name="T75" fmla="*/ 113 h 210"/>
                <a:gd name="T76" fmla="*/ 710 w 169"/>
                <a:gd name="T77" fmla="*/ 49 h 210"/>
                <a:gd name="T78" fmla="*/ 783 w 169"/>
                <a:gd name="T79" fmla="*/ 240 h 210"/>
                <a:gd name="T80" fmla="*/ 893 w 169"/>
                <a:gd name="T81" fmla="*/ 466 h 210"/>
                <a:gd name="T82" fmla="*/ 967 w 169"/>
                <a:gd name="T83" fmla="*/ 530 h 210"/>
                <a:gd name="T84" fmla="*/ 1031 w 169"/>
                <a:gd name="T85" fmla="*/ 554 h 210"/>
                <a:gd name="T86" fmla="*/ 1090 w 169"/>
                <a:gd name="T87" fmla="*/ 380 h 210"/>
                <a:gd name="T88" fmla="*/ 1104 w 169"/>
                <a:gd name="T89" fmla="*/ 267 h 210"/>
                <a:gd name="T90" fmla="*/ 1135 w 169"/>
                <a:gd name="T91" fmla="*/ 170 h 210"/>
                <a:gd name="T92" fmla="*/ 1197 w 169"/>
                <a:gd name="T93" fmla="*/ 240 h 210"/>
                <a:gd name="T94" fmla="*/ 1255 w 169"/>
                <a:gd name="T95" fmla="*/ 351 h 210"/>
                <a:gd name="T96" fmla="*/ 1344 w 169"/>
                <a:gd name="T97" fmla="*/ 399 h 210"/>
                <a:gd name="T98" fmla="*/ 1271 w 169"/>
                <a:gd name="T99" fmla="*/ 643 h 210"/>
                <a:gd name="T100" fmla="*/ 1197 w 169"/>
                <a:gd name="T101" fmla="*/ 1092 h 210"/>
                <a:gd name="T102" fmla="*/ 1124 w 169"/>
                <a:gd name="T103" fmla="*/ 1497 h 210"/>
                <a:gd name="T104" fmla="*/ 1109 w 169"/>
                <a:gd name="T105" fmla="*/ 1891 h 210"/>
                <a:gd name="T106" fmla="*/ 1061 w 169"/>
                <a:gd name="T107" fmla="*/ 2003 h 210"/>
                <a:gd name="T108" fmla="*/ 1087 w 169"/>
                <a:gd name="T109" fmla="*/ 2406 h 210"/>
                <a:gd name="T110" fmla="*/ 1343 w 169"/>
                <a:gd name="T111" fmla="*/ 3345 h 210"/>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0" t="0" r="r" b="b"/>
              <a:pathLst>
                <a:path w="169" h="210">
                  <a:moveTo>
                    <a:pt x="169" y="205"/>
                  </a:moveTo>
                  <a:lnTo>
                    <a:pt x="163" y="208"/>
                  </a:lnTo>
                  <a:lnTo>
                    <a:pt x="162" y="210"/>
                  </a:lnTo>
                  <a:lnTo>
                    <a:pt x="160" y="209"/>
                  </a:lnTo>
                  <a:lnTo>
                    <a:pt x="155" y="208"/>
                  </a:lnTo>
                  <a:lnTo>
                    <a:pt x="153" y="203"/>
                  </a:lnTo>
                  <a:lnTo>
                    <a:pt x="151" y="195"/>
                  </a:lnTo>
                  <a:lnTo>
                    <a:pt x="149" y="191"/>
                  </a:lnTo>
                  <a:lnTo>
                    <a:pt x="145" y="189"/>
                  </a:lnTo>
                  <a:lnTo>
                    <a:pt x="135" y="189"/>
                  </a:lnTo>
                  <a:lnTo>
                    <a:pt x="129" y="189"/>
                  </a:lnTo>
                  <a:lnTo>
                    <a:pt x="125" y="188"/>
                  </a:lnTo>
                  <a:lnTo>
                    <a:pt x="124" y="186"/>
                  </a:lnTo>
                  <a:lnTo>
                    <a:pt x="123" y="182"/>
                  </a:lnTo>
                  <a:lnTo>
                    <a:pt x="120" y="178"/>
                  </a:lnTo>
                  <a:lnTo>
                    <a:pt x="116" y="178"/>
                  </a:lnTo>
                  <a:lnTo>
                    <a:pt x="110" y="182"/>
                  </a:lnTo>
                  <a:lnTo>
                    <a:pt x="103" y="177"/>
                  </a:lnTo>
                  <a:lnTo>
                    <a:pt x="99" y="178"/>
                  </a:lnTo>
                  <a:lnTo>
                    <a:pt x="90" y="185"/>
                  </a:lnTo>
                  <a:lnTo>
                    <a:pt x="84" y="188"/>
                  </a:lnTo>
                  <a:lnTo>
                    <a:pt x="79" y="190"/>
                  </a:lnTo>
                  <a:lnTo>
                    <a:pt x="77" y="192"/>
                  </a:lnTo>
                  <a:lnTo>
                    <a:pt x="72" y="192"/>
                  </a:lnTo>
                  <a:lnTo>
                    <a:pt x="67" y="191"/>
                  </a:lnTo>
                  <a:lnTo>
                    <a:pt x="64" y="192"/>
                  </a:lnTo>
                  <a:lnTo>
                    <a:pt x="61" y="190"/>
                  </a:lnTo>
                  <a:lnTo>
                    <a:pt x="56" y="189"/>
                  </a:lnTo>
                  <a:lnTo>
                    <a:pt x="50" y="184"/>
                  </a:lnTo>
                  <a:lnTo>
                    <a:pt x="46" y="180"/>
                  </a:lnTo>
                  <a:lnTo>
                    <a:pt x="40" y="176"/>
                  </a:lnTo>
                  <a:lnTo>
                    <a:pt x="34" y="171"/>
                  </a:lnTo>
                  <a:lnTo>
                    <a:pt x="28" y="163"/>
                  </a:lnTo>
                  <a:lnTo>
                    <a:pt x="24" y="157"/>
                  </a:lnTo>
                  <a:lnTo>
                    <a:pt x="19" y="150"/>
                  </a:lnTo>
                  <a:lnTo>
                    <a:pt x="15" y="151"/>
                  </a:lnTo>
                  <a:lnTo>
                    <a:pt x="11" y="150"/>
                  </a:lnTo>
                  <a:lnTo>
                    <a:pt x="7" y="147"/>
                  </a:lnTo>
                  <a:lnTo>
                    <a:pt x="6" y="146"/>
                  </a:lnTo>
                  <a:lnTo>
                    <a:pt x="5" y="143"/>
                  </a:lnTo>
                  <a:lnTo>
                    <a:pt x="3" y="140"/>
                  </a:lnTo>
                  <a:lnTo>
                    <a:pt x="1" y="136"/>
                  </a:lnTo>
                  <a:lnTo>
                    <a:pt x="0" y="133"/>
                  </a:lnTo>
                  <a:lnTo>
                    <a:pt x="0" y="127"/>
                  </a:lnTo>
                  <a:lnTo>
                    <a:pt x="7" y="128"/>
                  </a:lnTo>
                  <a:lnTo>
                    <a:pt x="15" y="128"/>
                  </a:lnTo>
                  <a:lnTo>
                    <a:pt x="20" y="123"/>
                  </a:lnTo>
                  <a:lnTo>
                    <a:pt x="24" y="115"/>
                  </a:lnTo>
                  <a:lnTo>
                    <a:pt x="24" y="108"/>
                  </a:lnTo>
                  <a:lnTo>
                    <a:pt x="27" y="107"/>
                  </a:lnTo>
                  <a:lnTo>
                    <a:pt x="33" y="111"/>
                  </a:lnTo>
                  <a:lnTo>
                    <a:pt x="38" y="109"/>
                  </a:lnTo>
                  <a:lnTo>
                    <a:pt x="44" y="102"/>
                  </a:lnTo>
                  <a:lnTo>
                    <a:pt x="46" y="100"/>
                  </a:lnTo>
                  <a:lnTo>
                    <a:pt x="48" y="100"/>
                  </a:lnTo>
                  <a:lnTo>
                    <a:pt x="50" y="101"/>
                  </a:lnTo>
                  <a:lnTo>
                    <a:pt x="55" y="96"/>
                  </a:lnTo>
                  <a:lnTo>
                    <a:pt x="57" y="96"/>
                  </a:lnTo>
                  <a:lnTo>
                    <a:pt x="60" y="98"/>
                  </a:lnTo>
                  <a:lnTo>
                    <a:pt x="62" y="94"/>
                  </a:lnTo>
                  <a:lnTo>
                    <a:pt x="69" y="96"/>
                  </a:lnTo>
                  <a:lnTo>
                    <a:pt x="71" y="93"/>
                  </a:lnTo>
                  <a:lnTo>
                    <a:pt x="70" y="85"/>
                  </a:lnTo>
                  <a:lnTo>
                    <a:pt x="73" y="80"/>
                  </a:lnTo>
                  <a:lnTo>
                    <a:pt x="77" y="79"/>
                  </a:lnTo>
                  <a:lnTo>
                    <a:pt x="78" y="75"/>
                  </a:lnTo>
                  <a:lnTo>
                    <a:pt x="76" y="68"/>
                  </a:lnTo>
                  <a:lnTo>
                    <a:pt x="76" y="57"/>
                  </a:lnTo>
                  <a:lnTo>
                    <a:pt x="74" y="49"/>
                  </a:lnTo>
                  <a:lnTo>
                    <a:pt x="76" y="43"/>
                  </a:lnTo>
                  <a:lnTo>
                    <a:pt x="82" y="39"/>
                  </a:lnTo>
                  <a:lnTo>
                    <a:pt x="82" y="37"/>
                  </a:lnTo>
                  <a:lnTo>
                    <a:pt x="78" y="28"/>
                  </a:lnTo>
                  <a:lnTo>
                    <a:pt x="79" y="23"/>
                  </a:lnTo>
                  <a:lnTo>
                    <a:pt x="81" y="15"/>
                  </a:lnTo>
                  <a:lnTo>
                    <a:pt x="82" y="6"/>
                  </a:lnTo>
                  <a:lnTo>
                    <a:pt x="83" y="0"/>
                  </a:lnTo>
                  <a:lnTo>
                    <a:pt x="84" y="3"/>
                  </a:lnTo>
                  <a:lnTo>
                    <a:pt x="89" y="10"/>
                  </a:lnTo>
                  <a:lnTo>
                    <a:pt x="94" y="14"/>
                  </a:lnTo>
                  <a:lnTo>
                    <a:pt x="100" y="19"/>
                  </a:lnTo>
                  <a:lnTo>
                    <a:pt x="107" y="27"/>
                  </a:lnTo>
                  <a:lnTo>
                    <a:pt x="112" y="30"/>
                  </a:lnTo>
                  <a:lnTo>
                    <a:pt x="115" y="31"/>
                  </a:lnTo>
                  <a:lnTo>
                    <a:pt x="119" y="34"/>
                  </a:lnTo>
                  <a:lnTo>
                    <a:pt x="124" y="32"/>
                  </a:lnTo>
                  <a:lnTo>
                    <a:pt x="127" y="26"/>
                  </a:lnTo>
                  <a:lnTo>
                    <a:pt x="131" y="22"/>
                  </a:lnTo>
                  <a:lnTo>
                    <a:pt x="133" y="19"/>
                  </a:lnTo>
                  <a:lnTo>
                    <a:pt x="132" y="16"/>
                  </a:lnTo>
                  <a:lnTo>
                    <a:pt x="131" y="9"/>
                  </a:lnTo>
                  <a:lnTo>
                    <a:pt x="135" y="10"/>
                  </a:lnTo>
                  <a:lnTo>
                    <a:pt x="139" y="11"/>
                  </a:lnTo>
                  <a:lnTo>
                    <a:pt x="143" y="14"/>
                  </a:lnTo>
                  <a:lnTo>
                    <a:pt x="146" y="16"/>
                  </a:lnTo>
                  <a:lnTo>
                    <a:pt x="150" y="20"/>
                  </a:lnTo>
                  <a:lnTo>
                    <a:pt x="158" y="21"/>
                  </a:lnTo>
                  <a:lnTo>
                    <a:pt x="161" y="23"/>
                  </a:lnTo>
                  <a:lnTo>
                    <a:pt x="162" y="24"/>
                  </a:lnTo>
                  <a:lnTo>
                    <a:pt x="152" y="38"/>
                  </a:lnTo>
                  <a:lnTo>
                    <a:pt x="149" y="48"/>
                  </a:lnTo>
                  <a:lnTo>
                    <a:pt x="143" y="64"/>
                  </a:lnTo>
                  <a:lnTo>
                    <a:pt x="134" y="84"/>
                  </a:lnTo>
                  <a:lnTo>
                    <a:pt x="134" y="87"/>
                  </a:lnTo>
                  <a:lnTo>
                    <a:pt x="135" y="103"/>
                  </a:lnTo>
                  <a:lnTo>
                    <a:pt x="133" y="111"/>
                  </a:lnTo>
                  <a:lnTo>
                    <a:pt x="130" y="114"/>
                  </a:lnTo>
                  <a:lnTo>
                    <a:pt x="127" y="117"/>
                  </a:lnTo>
                  <a:lnTo>
                    <a:pt x="126" y="123"/>
                  </a:lnTo>
                  <a:lnTo>
                    <a:pt x="130" y="141"/>
                  </a:lnTo>
                  <a:lnTo>
                    <a:pt x="145" y="171"/>
                  </a:lnTo>
                  <a:lnTo>
                    <a:pt x="160" y="196"/>
                  </a:lnTo>
                  <a:lnTo>
                    <a:pt x="169" y="205"/>
                  </a:lnTo>
                  <a:close/>
                </a:path>
              </a:pathLst>
            </a:custGeom>
            <a:solidFill>
              <a:srgbClr val="1A2232"/>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36" name="Freeform 20">
              <a:extLst>
                <a:ext uri="{FF2B5EF4-FFF2-40B4-BE49-F238E27FC236}">
                  <a16:creationId xmlns:a16="http://schemas.microsoft.com/office/drawing/2014/main" id="{00000000-0008-0000-0900-0000207E1200}"/>
                </a:ext>
              </a:extLst>
            </xdr:cNvPr>
            <xdr:cNvSpPr>
              <a:spLocks noChangeAspect="1"/>
            </xdr:cNvSpPr>
          </xdr:nvSpPr>
          <xdr:spPr bwMode="auto">
            <a:xfrm rot="238154">
              <a:off x="1943" y="2658"/>
              <a:ext cx="172" cy="204"/>
            </a:xfrm>
            <a:custGeom>
              <a:avLst/>
              <a:gdLst>
                <a:gd name="T0" fmla="*/ 428 w 139"/>
                <a:gd name="T1" fmla="*/ 1344 h 165"/>
                <a:gd name="T2" fmla="*/ 322 w 139"/>
                <a:gd name="T3" fmla="*/ 1294 h 165"/>
                <a:gd name="T4" fmla="*/ 256 w 139"/>
                <a:gd name="T5" fmla="*/ 1249 h 165"/>
                <a:gd name="T6" fmla="*/ 136 w 139"/>
                <a:gd name="T7" fmla="*/ 1197 h 165"/>
                <a:gd name="T8" fmla="*/ 93 w 139"/>
                <a:gd name="T9" fmla="*/ 1078 h 165"/>
                <a:gd name="T10" fmla="*/ 109 w 139"/>
                <a:gd name="T11" fmla="*/ 989 h 165"/>
                <a:gd name="T12" fmla="*/ 148 w 139"/>
                <a:gd name="T13" fmla="*/ 872 h 165"/>
                <a:gd name="T14" fmla="*/ 2 w 139"/>
                <a:gd name="T15" fmla="*/ 769 h 165"/>
                <a:gd name="T16" fmla="*/ 40 w 139"/>
                <a:gd name="T17" fmla="*/ 632 h 165"/>
                <a:gd name="T18" fmla="*/ 40 w 139"/>
                <a:gd name="T19" fmla="*/ 517 h 165"/>
                <a:gd name="T20" fmla="*/ 1 w 139"/>
                <a:gd name="T21" fmla="*/ 448 h 165"/>
                <a:gd name="T22" fmla="*/ 2 w 139"/>
                <a:gd name="T23" fmla="*/ 387 h 165"/>
                <a:gd name="T24" fmla="*/ 218 w 139"/>
                <a:gd name="T25" fmla="*/ 362 h 165"/>
                <a:gd name="T26" fmla="*/ 334 w 139"/>
                <a:gd name="T27" fmla="*/ 293 h 165"/>
                <a:gd name="T28" fmla="*/ 452 w 139"/>
                <a:gd name="T29" fmla="*/ 225 h 165"/>
                <a:gd name="T30" fmla="*/ 530 w 139"/>
                <a:gd name="T31" fmla="*/ 142 h 165"/>
                <a:gd name="T32" fmla="*/ 609 w 139"/>
                <a:gd name="T33" fmla="*/ 125 h 165"/>
                <a:gd name="T34" fmla="*/ 710 w 139"/>
                <a:gd name="T35" fmla="*/ 40 h 165"/>
                <a:gd name="T36" fmla="*/ 807 w 139"/>
                <a:gd name="T37" fmla="*/ 0 h 165"/>
                <a:gd name="T38" fmla="*/ 921 w 139"/>
                <a:gd name="T39" fmla="*/ 26 h 165"/>
                <a:gd name="T40" fmla="*/ 1120 w 139"/>
                <a:gd name="T41" fmla="*/ 192 h 165"/>
                <a:gd name="T42" fmla="*/ 1163 w 139"/>
                <a:gd name="T43" fmla="*/ 362 h 165"/>
                <a:gd name="T44" fmla="*/ 1136 w 139"/>
                <a:gd name="T45" fmla="*/ 502 h 165"/>
                <a:gd name="T46" fmla="*/ 1163 w 139"/>
                <a:gd name="T47" fmla="*/ 621 h 165"/>
                <a:gd name="T48" fmla="*/ 1109 w 139"/>
                <a:gd name="T49" fmla="*/ 670 h 165"/>
                <a:gd name="T50" fmla="*/ 1109 w 139"/>
                <a:gd name="T51" fmla="*/ 783 h 165"/>
                <a:gd name="T52" fmla="*/ 1127 w 139"/>
                <a:gd name="T53" fmla="*/ 932 h 165"/>
                <a:gd name="T54" fmla="*/ 1088 w 139"/>
                <a:gd name="T55" fmla="*/ 977 h 165"/>
                <a:gd name="T56" fmla="*/ 1067 w 139"/>
                <a:gd name="T57" fmla="*/ 1087 h 165"/>
                <a:gd name="T58" fmla="*/ 995 w 139"/>
                <a:gd name="T59" fmla="*/ 1088 h 165"/>
                <a:gd name="T60" fmla="*/ 950 w 139"/>
                <a:gd name="T61" fmla="*/ 1108 h 165"/>
                <a:gd name="T62" fmla="*/ 888 w 139"/>
                <a:gd name="T63" fmla="*/ 1152 h 165"/>
                <a:gd name="T64" fmla="*/ 859 w 139"/>
                <a:gd name="T65" fmla="*/ 1137 h 165"/>
                <a:gd name="T66" fmla="*/ 791 w 139"/>
                <a:gd name="T67" fmla="*/ 1223 h 165"/>
                <a:gd name="T68" fmla="*/ 697 w 139"/>
                <a:gd name="T69" fmla="*/ 1198 h 165"/>
                <a:gd name="T70" fmla="*/ 676 w 139"/>
                <a:gd name="T71" fmla="*/ 1269 h 165"/>
                <a:gd name="T72" fmla="*/ 600 w 139"/>
                <a:gd name="T73" fmla="*/ 1377 h 165"/>
                <a:gd name="T74" fmla="*/ 465 w 139"/>
                <a:gd name="T75" fmla="*/ 1370 h 165"/>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Lst>
              <a:ahLst/>
              <a:cxnLst>
                <a:cxn ang="T76">
                  <a:pos x="T0" y="T1"/>
                </a:cxn>
                <a:cxn ang="T77">
                  <a:pos x="T2" y="T3"/>
                </a:cxn>
                <a:cxn ang="T78">
                  <a:pos x="T4" y="T5"/>
                </a:cxn>
                <a:cxn ang="T79">
                  <a:pos x="T6" y="T7"/>
                </a:cxn>
                <a:cxn ang="T80">
                  <a:pos x="T8" y="T9"/>
                </a:cxn>
                <a:cxn ang="T81">
                  <a:pos x="T10" y="T11"/>
                </a:cxn>
                <a:cxn ang="T82">
                  <a:pos x="T12" y="T13"/>
                </a:cxn>
                <a:cxn ang="T83">
                  <a:pos x="T14" y="T15"/>
                </a:cxn>
                <a:cxn ang="T84">
                  <a:pos x="T16" y="T17"/>
                </a:cxn>
                <a:cxn ang="T85">
                  <a:pos x="T18" y="T19"/>
                </a:cxn>
                <a:cxn ang="T86">
                  <a:pos x="T20" y="T21"/>
                </a:cxn>
                <a:cxn ang="T87">
                  <a:pos x="T22" y="T23"/>
                </a:cxn>
                <a:cxn ang="T88">
                  <a:pos x="T24" y="T25"/>
                </a:cxn>
                <a:cxn ang="T89">
                  <a:pos x="T26" y="T27"/>
                </a:cxn>
                <a:cxn ang="T90">
                  <a:pos x="T28" y="T29"/>
                </a:cxn>
                <a:cxn ang="T91">
                  <a:pos x="T30" y="T31"/>
                </a:cxn>
                <a:cxn ang="T92">
                  <a:pos x="T32" y="T33"/>
                </a:cxn>
                <a:cxn ang="T93">
                  <a:pos x="T34" y="T35"/>
                </a:cxn>
                <a:cxn ang="T94">
                  <a:pos x="T36" y="T37"/>
                </a:cxn>
                <a:cxn ang="T95">
                  <a:pos x="T38" y="T39"/>
                </a:cxn>
                <a:cxn ang="T96">
                  <a:pos x="T40" y="T41"/>
                </a:cxn>
                <a:cxn ang="T97">
                  <a:pos x="T42" y="T43"/>
                </a:cxn>
                <a:cxn ang="T98">
                  <a:pos x="T44" y="T45"/>
                </a:cxn>
                <a:cxn ang="T99">
                  <a:pos x="T46" y="T47"/>
                </a:cxn>
                <a:cxn ang="T100">
                  <a:pos x="T48" y="T49"/>
                </a:cxn>
                <a:cxn ang="T101">
                  <a:pos x="T50" y="T51"/>
                </a:cxn>
                <a:cxn ang="T102">
                  <a:pos x="T52" y="T53"/>
                </a:cxn>
                <a:cxn ang="T103">
                  <a:pos x="T54" y="T55"/>
                </a:cxn>
                <a:cxn ang="T104">
                  <a:pos x="T56" y="T57"/>
                </a:cxn>
                <a:cxn ang="T105">
                  <a:pos x="T58" y="T59"/>
                </a:cxn>
                <a:cxn ang="T106">
                  <a:pos x="T60" y="T61"/>
                </a:cxn>
                <a:cxn ang="T107">
                  <a:pos x="T62" y="T63"/>
                </a:cxn>
                <a:cxn ang="T108">
                  <a:pos x="T64" y="T65"/>
                </a:cxn>
                <a:cxn ang="T109">
                  <a:pos x="T66" y="T67"/>
                </a:cxn>
                <a:cxn ang="T110">
                  <a:pos x="T68" y="T69"/>
                </a:cxn>
                <a:cxn ang="T111">
                  <a:pos x="T70" y="T71"/>
                </a:cxn>
                <a:cxn ang="T112">
                  <a:pos x="T72" y="T73"/>
                </a:cxn>
                <a:cxn ang="T113">
                  <a:pos x="T74" y="T75"/>
                </a:cxn>
              </a:cxnLst>
              <a:rect l="0" t="0" r="r" b="b"/>
              <a:pathLst>
                <a:path w="139" h="165">
                  <a:moveTo>
                    <a:pt x="56" y="164"/>
                  </a:moveTo>
                  <a:lnTo>
                    <a:pt x="51" y="161"/>
                  </a:lnTo>
                  <a:lnTo>
                    <a:pt x="46" y="157"/>
                  </a:lnTo>
                  <a:lnTo>
                    <a:pt x="39" y="155"/>
                  </a:lnTo>
                  <a:lnTo>
                    <a:pt x="33" y="150"/>
                  </a:lnTo>
                  <a:lnTo>
                    <a:pt x="30" y="150"/>
                  </a:lnTo>
                  <a:lnTo>
                    <a:pt x="20" y="151"/>
                  </a:lnTo>
                  <a:lnTo>
                    <a:pt x="16" y="143"/>
                  </a:lnTo>
                  <a:lnTo>
                    <a:pt x="10" y="134"/>
                  </a:lnTo>
                  <a:lnTo>
                    <a:pt x="11" y="129"/>
                  </a:lnTo>
                  <a:lnTo>
                    <a:pt x="14" y="124"/>
                  </a:lnTo>
                  <a:lnTo>
                    <a:pt x="12" y="118"/>
                  </a:lnTo>
                  <a:lnTo>
                    <a:pt x="13" y="113"/>
                  </a:lnTo>
                  <a:lnTo>
                    <a:pt x="18" y="104"/>
                  </a:lnTo>
                  <a:lnTo>
                    <a:pt x="18" y="101"/>
                  </a:lnTo>
                  <a:lnTo>
                    <a:pt x="2" y="92"/>
                  </a:lnTo>
                  <a:lnTo>
                    <a:pt x="3" y="85"/>
                  </a:lnTo>
                  <a:lnTo>
                    <a:pt x="5" y="75"/>
                  </a:lnTo>
                  <a:lnTo>
                    <a:pt x="3" y="69"/>
                  </a:lnTo>
                  <a:lnTo>
                    <a:pt x="5" y="62"/>
                  </a:lnTo>
                  <a:lnTo>
                    <a:pt x="6" y="59"/>
                  </a:lnTo>
                  <a:lnTo>
                    <a:pt x="1" y="53"/>
                  </a:lnTo>
                  <a:lnTo>
                    <a:pt x="0" y="50"/>
                  </a:lnTo>
                  <a:lnTo>
                    <a:pt x="2" y="46"/>
                  </a:lnTo>
                  <a:lnTo>
                    <a:pt x="10" y="45"/>
                  </a:lnTo>
                  <a:lnTo>
                    <a:pt x="26" y="43"/>
                  </a:lnTo>
                  <a:lnTo>
                    <a:pt x="33" y="41"/>
                  </a:lnTo>
                  <a:lnTo>
                    <a:pt x="40" y="35"/>
                  </a:lnTo>
                  <a:lnTo>
                    <a:pt x="41" y="32"/>
                  </a:lnTo>
                  <a:lnTo>
                    <a:pt x="53" y="27"/>
                  </a:lnTo>
                  <a:lnTo>
                    <a:pt x="60" y="22"/>
                  </a:lnTo>
                  <a:lnTo>
                    <a:pt x="63" y="17"/>
                  </a:lnTo>
                  <a:lnTo>
                    <a:pt x="64" y="15"/>
                  </a:lnTo>
                  <a:lnTo>
                    <a:pt x="73" y="15"/>
                  </a:lnTo>
                  <a:lnTo>
                    <a:pt x="79" y="14"/>
                  </a:lnTo>
                  <a:lnTo>
                    <a:pt x="84" y="5"/>
                  </a:lnTo>
                  <a:lnTo>
                    <a:pt x="88" y="2"/>
                  </a:lnTo>
                  <a:lnTo>
                    <a:pt x="96" y="0"/>
                  </a:lnTo>
                  <a:lnTo>
                    <a:pt x="103" y="0"/>
                  </a:lnTo>
                  <a:lnTo>
                    <a:pt x="110" y="3"/>
                  </a:lnTo>
                  <a:lnTo>
                    <a:pt x="118" y="9"/>
                  </a:lnTo>
                  <a:lnTo>
                    <a:pt x="133" y="23"/>
                  </a:lnTo>
                  <a:lnTo>
                    <a:pt x="139" y="37"/>
                  </a:lnTo>
                  <a:lnTo>
                    <a:pt x="138" y="43"/>
                  </a:lnTo>
                  <a:lnTo>
                    <a:pt x="137" y="52"/>
                  </a:lnTo>
                  <a:lnTo>
                    <a:pt x="135" y="60"/>
                  </a:lnTo>
                  <a:lnTo>
                    <a:pt x="134" y="65"/>
                  </a:lnTo>
                  <a:lnTo>
                    <a:pt x="138" y="74"/>
                  </a:lnTo>
                  <a:lnTo>
                    <a:pt x="138" y="76"/>
                  </a:lnTo>
                  <a:lnTo>
                    <a:pt x="132" y="80"/>
                  </a:lnTo>
                  <a:lnTo>
                    <a:pt x="130" y="86"/>
                  </a:lnTo>
                  <a:lnTo>
                    <a:pt x="132" y="94"/>
                  </a:lnTo>
                  <a:lnTo>
                    <a:pt x="132" y="105"/>
                  </a:lnTo>
                  <a:lnTo>
                    <a:pt x="134" y="112"/>
                  </a:lnTo>
                  <a:lnTo>
                    <a:pt x="133" y="116"/>
                  </a:lnTo>
                  <a:lnTo>
                    <a:pt x="129" y="117"/>
                  </a:lnTo>
                  <a:lnTo>
                    <a:pt x="126" y="122"/>
                  </a:lnTo>
                  <a:lnTo>
                    <a:pt x="127" y="130"/>
                  </a:lnTo>
                  <a:lnTo>
                    <a:pt x="125" y="133"/>
                  </a:lnTo>
                  <a:lnTo>
                    <a:pt x="118" y="131"/>
                  </a:lnTo>
                  <a:lnTo>
                    <a:pt x="116" y="135"/>
                  </a:lnTo>
                  <a:lnTo>
                    <a:pt x="113" y="133"/>
                  </a:lnTo>
                  <a:lnTo>
                    <a:pt x="111" y="133"/>
                  </a:lnTo>
                  <a:lnTo>
                    <a:pt x="106" y="138"/>
                  </a:lnTo>
                  <a:lnTo>
                    <a:pt x="104" y="137"/>
                  </a:lnTo>
                  <a:lnTo>
                    <a:pt x="102" y="137"/>
                  </a:lnTo>
                  <a:lnTo>
                    <a:pt x="100" y="139"/>
                  </a:lnTo>
                  <a:lnTo>
                    <a:pt x="94" y="146"/>
                  </a:lnTo>
                  <a:lnTo>
                    <a:pt x="89" y="148"/>
                  </a:lnTo>
                  <a:lnTo>
                    <a:pt x="83" y="144"/>
                  </a:lnTo>
                  <a:lnTo>
                    <a:pt x="80" y="145"/>
                  </a:lnTo>
                  <a:lnTo>
                    <a:pt x="80" y="152"/>
                  </a:lnTo>
                  <a:lnTo>
                    <a:pt x="76" y="160"/>
                  </a:lnTo>
                  <a:lnTo>
                    <a:pt x="71" y="165"/>
                  </a:lnTo>
                  <a:lnTo>
                    <a:pt x="63" y="165"/>
                  </a:lnTo>
                  <a:lnTo>
                    <a:pt x="56" y="164"/>
                  </a:lnTo>
                  <a:close/>
                </a:path>
              </a:pathLst>
            </a:custGeom>
            <a:solidFill>
              <a:srgbClr val="1A2232"/>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37" name="Freeform 21">
              <a:extLst>
                <a:ext uri="{FF2B5EF4-FFF2-40B4-BE49-F238E27FC236}">
                  <a16:creationId xmlns:a16="http://schemas.microsoft.com/office/drawing/2014/main" id="{00000000-0008-0000-0900-0000217E1200}"/>
                </a:ext>
              </a:extLst>
            </xdr:cNvPr>
            <xdr:cNvSpPr>
              <a:spLocks noChangeAspect="1"/>
            </xdr:cNvSpPr>
          </xdr:nvSpPr>
          <xdr:spPr bwMode="auto">
            <a:xfrm rot="238154">
              <a:off x="1793" y="2679"/>
              <a:ext cx="217" cy="220"/>
            </a:xfrm>
            <a:custGeom>
              <a:avLst/>
              <a:gdLst>
                <a:gd name="T0" fmla="*/ 278 w 175"/>
                <a:gd name="T1" fmla="*/ 1372 h 179"/>
                <a:gd name="T2" fmla="*/ 210 w 175"/>
                <a:gd name="T3" fmla="*/ 1314 h 179"/>
                <a:gd name="T4" fmla="*/ 224 w 175"/>
                <a:gd name="T5" fmla="*/ 1206 h 179"/>
                <a:gd name="T6" fmla="*/ 181 w 175"/>
                <a:gd name="T7" fmla="*/ 1126 h 179"/>
                <a:gd name="T8" fmla="*/ 224 w 175"/>
                <a:gd name="T9" fmla="*/ 1068 h 179"/>
                <a:gd name="T10" fmla="*/ 207 w 175"/>
                <a:gd name="T11" fmla="*/ 998 h 179"/>
                <a:gd name="T12" fmla="*/ 254 w 175"/>
                <a:gd name="T13" fmla="*/ 955 h 179"/>
                <a:gd name="T14" fmla="*/ 257 w 175"/>
                <a:gd name="T15" fmla="*/ 787 h 179"/>
                <a:gd name="T16" fmla="*/ 167 w 175"/>
                <a:gd name="T17" fmla="*/ 798 h 179"/>
                <a:gd name="T18" fmla="*/ 136 w 175"/>
                <a:gd name="T19" fmla="*/ 787 h 179"/>
                <a:gd name="T20" fmla="*/ 88 w 175"/>
                <a:gd name="T21" fmla="*/ 779 h 179"/>
                <a:gd name="T22" fmla="*/ 1 w 175"/>
                <a:gd name="T23" fmla="*/ 757 h 179"/>
                <a:gd name="T24" fmla="*/ 26 w 175"/>
                <a:gd name="T25" fmla="*/ 589 h 179"/>
                <a:gd name="T26" fmla="*/ 109 w 175"/>
                <a:gd name="T27" fmla="*/ 449 h 179"/>
                <a:gd name="T28" fmla="*/ 149 w 175"/>
                <a:gd name="T29" fmla="*/ 390 h 179"/>
                <a:gd name="T30" fmla="*/ 224 w 175"/>
                <a:gd name="T31" fmla="*/ 356 h 179"/>
                <a:gd name="T32" fmla="*/ 334 w 175"/>
                <a:gd name="T33" fmla="*/ 317 h 179"/>
                <a:gd name="T34" fmla="*/ 455 w 175"/>
                <a:gd name="T35" fmla="*/ 336 h 179"/>
                <a:gd name="T36" fmla="*/ 549 w 175"/>
                <a:gd name="T37" fmla="*/ 258 h 179"/>
                <a:gd name="T38" fmla="*/ 549 w 175"/>
                <a:gd name="T39" fmla="*/ 186 h 179"/>
                <a:gd name="T40" fmla="*/ 609 w 175"/>
                <a:gd name="T41" fmla="*/ 162 h 179"/>
                <a:gd name="T42" fmla="*/ 614 w 175"/>
                <a:gd name="T43" fmla="*/ 73 h 179"/>
                <a:gd name="T44" fmla="*/ 729 w 175"/>
                <a:gd name="T45" fmla="*/ 61 h 179"/>
                <a:gd name="T46" fmla="*/ 832 w 175"/>
                <a:gd name="T47" fmla="*/ 92 h 179"/>
                <a:gd name="T48" fmla="*/ 895 w 175"/>
                <a:gd name="T49" fmla="*/ 167 h 179"/>
                <a:gd name="T50" fmla="*/ 1040 w 175"/>
                <a:gd name="T51" fmla="*/ 171 h 179"/>
                <a:gd name="T52" fmla="*/ 1032 w 175"/>
                <a:gd name="T53" fmla="*/ 229 h 179"/>
                <a:gd name="T54" fmla="*/ 1071 w 175"/>
                <a:gd name="T55" fmla="*/ 301 h 179"/>
                <a:gd name="T56" fmla="*/ 1071 w 175"/>
                <a:gd name="T57" fmla="*/ 404 h 179"/>
                <a:gd name="T58" fmla="*/ 1040 w 175"/>
                <a:gd name="T59" fmla="*/ 538 h 179"/>
                <a:gd name="T60" fmla="*/ 1183 w 175"/>
                <a:gd name="T61" fmla="*/ 624 h 179"/>
                <a:gd name="T62" fmla="*/ 1122 w 175"/>
                <a:gd name="T63" fmla="*/ 745 h 179"/>
                <a:gd name="T64" fmla="*/ 1121 w 175"/>
                <a:gd name="T65" fmla="*/ 828 h 179"/>
                <a:gd name="T66" fmla="*/ 1161 w 175"/>
                <a:gd name="T67" fmla="*/ 930 h 179"/>
                <a:gd name="T68" fmla="*/ 1280 w 175"/>
                <a:gd name="T69" fmla="*/ 996 h 179"/>
                <a:gd name="T70" fmla="*/ 1358 w 175"/>
                <a:gd name="T71" fmla="*/ 1029 h 179"/>
                <a:gd name="T72" fmla="*/ 1467 w 175"/>
                <a:gd name="T73" fmla="*/ 1069 h 179"/>
                <a:gd name="T74" fmla="*/ 1427 w 175"/>
                <a:gd name="T75" fmla="*/ 1126 h 179"/>
                <a:gd name="T76" fmla="*/ 1302 w 175"/>
                <a:gd name="T77" fmla="*/ 1143 h 179"/>
                <a:gd name="T78" fmla="*/ 1151 w 175"/>
                <a:gd name="T79" fmla="*/ 1088 h 179"/>
                <a:gd name="T80" fmla="*/ 1090 w 175"/>
                <a:gd name="T81" fmla="*/ 1063 h 179"/>
                <a:gd name="T82" fmla="*/ 1027 w 175"/>
                <a:gd name="T83" fmla="*/ 1088 h 179"/>
                <a:gd name="T84" fmla="*/ 889 w 175"/>
                <a:gd name="T85" fmla="*/ 1004 h 179"/>
                <a:gd name="T86" fmla="*/ 789 w 175"/>
                <a:gd name="T87" fmla="*/ 1040 h 179"/>
                <a:gd name="T88" fmla="*/ 761 w 175"/>
                <a:gd name="T89" fmla="*/ 1165 h 179"/>
                <a:gd name="T90" fmla="*/ 697 w 175"/>
                <a:gd name="T91" fmla="*/ 1174 h 179"/>
                <a:gd name="T92" fmla="*/ 658 w 175"/>
                <a:gd name="T93" fmla="*/ 1206 h 179"/>
                <a:gd name="T94" fmla="*/ 485 w 175"/>
                <a:gd name="T95" fmla="*/ 1345 h 179"/>
                <a:gd name="T96" fmla="*/ 378 w 175"/>
                <a:gd name="T97" fmla="*/ 1367 h 179"/>
                <a:gd name="T98" fmla="*/ 315 w 175"/>
                <a:gd name="T99" fmla="*/ 1405 h 179"/>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0" t="0" r="r" b="b"/>
              <a:pathLst>
                <a:path w="175" h="179">
                  <a:moveTo>
                    <a:pt x="33" y="177"/>
                  </a:moveTo>
                  <a:lnTo>
                    <a:pt x="32" y="175"/>
                  </a:lnTo>
                  <a:lnTo>
                    <a:pt x="27" y="172"/>
                  </a:lnTo>
                  <a:lnTo>
                    <a:pt x="25" y="168"/>
                  </a:lnTo>
                  <a:lnTo>
                    <a:pt x="26" y="159"/>
                  </a:lnTo>
                  <a:lnTo>
                    <a:pt x="26" y="154"/>
                  </a:lnTo>
                  <a:lnTo>
                    <a:pt x="22" y="150"/>
                  </a:lnTo>
                  <a:lnTo>
                    <a:pt x="21" y="143"/>
                  </a:lnTo>
                  <a:lnTo>
                    <a:pt x="24" y="141"/>
                  </a:lnTo>
                  <a:lnTo>
                    <a:pt x="26" y="136"/>
                  </a:lnTo>
                  <a:lnTo>
                    <a:pt x="26" y="133"/>
                  </a:lnTo>
                  <a:lnTo>
                    <a:pt x="24" y="127"/>
                  </a:lnTo>
                  <a:lnTo>
                    <a:pt x="24" y="124"/>
                  </a:lnTo>
                  <a:lnTo>
                    <a:pt x="29" y="121"/>
                  </a:lnTo>
                  <a:lnTo>
                    <a:pt x="32" y="107"/>
                  </a:lnTo>
                  <a:lnTo>
                    <a:pt x="30" y="100"/>
                  </a:lnTo>
                  <a:lnTo>
                    <a:pt x="28" y="99"/>
                  </a:lnTo>
                  <a:lnTo>
                    <a:pt x="19" y="102"/>
                  </a:lnTo>
                  <a:lnTo>
                    <a:pt x="17" y="102"/>
                  </a:lnTo>
                  <a:lnTo>
                    <a:pt x="16" y="100"/>
                  </a:lnTo>
                  <a:lnTo>
                    <a:pt x="13" y="98"/>
                  </a:lnTo>
                  <a:lnTo>
                    <a:pt x="10" y="99"/>
                  </a:lnTo>
                  <a:lnTo>
                    <a:pt x="6" y="100"/>
                  </a:lnTo>
                  <a:lnTo>
                    <a:pt x="1" y="97"/>
                  </a:lnTo>
                  <a:lnTo>
                    <a:pt x="0" y="92"/>
                  </a:lnTo>
                  <a:lnTo>
                    <a:pt x="3" y="75"/>
                  </a:lnTo>
                  <a:lnTo>
                    <a:pt x="8" y="64"/>
                  </a:lnTo>
                  <a:lnTo>
                    <a:pt x="12" y="57"/>
                  </a:lnTo>
                  <a:lnTo>
                    <a:pt x="15" y="56"/>
                  </a:lnTo>
                  <a:lnTo>
                    <a:pt x="18" y="50"/>
                  </a:lnTo>
                  <a:lnTo>
                    <a:pt x="21" y="46"/>
                  </a:lnTo>
                  <a:lnTo>
                    <a:pt x="26" y="45"/>
                  </a:lnTo>
                  <a:lnTo>
                    <a:pt x="31" y="45"/>
                  </a:lnTo>
                  <a:lnTo>
                    <a:pt x="39" y="41"/>
                  </a:lnTo>
                  <a:lnTo>
                    <a:pt x="46" y="44"/>
                  </a:lnTo>
                  <a:lnTo>
                    <a:pt x="53" y="43"/>
                  </a:lnTo>
                  <a:lnTo>
                    <a:pt x="55" y="36"/>
                  </a:lnTo>
                  <a:lnTo>
                    <a:pt x="64" y="33"/>
                  </a:lnTo>
                  <a:lnTo>
                    <a:pt x="65" y="29"/>
                  </a:lnTo>
                  <a:lnTo>
                    <a:pt x="64" y="24"/>
                  </a:lnTo>
                  <a:lnTo>
                    <a:pt x="71" y="25"/>
                  </a:lnTo>
                  <a:lnTo>
                    <a:pt x="71" y="20"/>
                  </a:lnTo>
                  <a:lnTo>
                    <a:pt x="70" y="14"/>
                  </a:lnTo>
                  <a:lnTo>
                    <a:pt x="72" y="9"/>
                  </a:lnTo>
                  <a:lnTo>
                    <a:pt x="81" y="10"/>
                  </a:lnTo>
                  <a:lnTo>
                    <a:pt x="85" y="8"/>
                  </a:lnTo>
                  <a:lnTo>
                    <a:pt x="91" y="0"/>
                  </a:lnTo>
                  <a:lnTo>
                    <a:pt x="97" y="12"/>
                  </a:lnTo>
                  <a:lnTo>
                    <a:pt x="103" y="19"/>
                  </a:lnTo>
                  <a:lnTo>
                    <a:pt x="104" y="21"/>
                  </a:lnTo>
                  <a:lnTo>
                    <a:pt x="112" y="25"/>
                  </a:lnTo>
                  <a:lnTo>
                    <a:pt x="121" y="22"/>
                  </a:lnTo>
                  <a:lnTo>
                    <a:pt x="119" y="26"/>
                  </a:lnTo>
                  <a:lnTo>
                    <a:pt x="120" y="29"/>
                  </a:lnTo>
                  <a:lnTo>
                    <a:pt x="125" y="35"/>
                  </a:lnTo>
                  <a:lnTo>
                    <a:pt x="124" y="38"/>
                  </a:lnTo>
                  <a:lnTo>
                    <a:pt x="122" y="45"/>
                  </a:lnTo>
                  <a:lnTo>
                    <a:pt x="124" y="51"/>
                  </a:lnTo>
                  <a:lnTo>
                    <a:pt x="122" y="61"/>
                  </a:lnTo>
                  <a:lnTo>
                    <a:pt x="121" y="68"/>
                  </a:lnTo>
                  <a:lnTo>
                    <a:pt x="137" y="77"/>
                  </a:lnTo>
                  <a:lnTo>
                    <a:pt x="137" y="80"/>
                  </a:lnTo>
                  <a:lnTo>
                    <a:pt x="132" y="89"/>
                  </a:lnTo>
                  <a:lnTo>
                    <a:pt x="131" y="94"/>
                  </a:lnTo>
                  <a:lnTo>
                    <a:pt x="133" y="100"/>
                  </a:lnTo>
                  <a:lnTo>
                    <a:pt x="130" y="105"/>
                  </a:lnTo>
                  <a:lnTo>
                    <a:pt x="129" y="110"/>
                  </a:lnTo>
                  <a:lnTo>
                    <a:pt x="135" y="119"/>
                  </a:lnTo>
                  <a:lnTo>
                    <a:pt x="139" y="127"/>
                  </a:lnTo>
                  <a:lnTo>
                    <a:pt x="149" y="126"/>
                  </a:lnTo>
                  <a:lnTo>
                    <a:pt x="152" y="126"/>
                  </a:lnTo>
                  <a:lnTo>
                    <a:pt x="158" y="131"/>
                  </a:lnTo>
                  <a:lnTo>
                    <a:pt x="165" y="133"/>
                  </a:lnTo>
                  <a:lnTo>
                    <a:pt x="170" y="137"/>
                  </a:lnTo>
                  <a:lnTo>
                    <a:pt x="175" y="140"/>
                  </a:lnTo>
                  <a:lnTo>
                    <a:pt x="166" y="143"/>
                  </a:lnTo>
                  <a:lnTo>
                    <a:pt x="157" y="144"/>
                  </a:lnTo>
                  <a:lnTo>
                    <a:pt x="152" y="146"/>
                  </a:lnTo>
                  <a:lnTo>
                    <a:pt x="146" y="147"/>
                  </a:lnTo>
                  <a:lnTo>
                    <a:pt x="134" y="138"/>
                  </a:lnTo>
                  <a:lnTo>
                    <a:pt x="130" y="135"/>
                  </a:lnTo>
                  <a:lnTo>
                    <a:pt x="127" y="135"/>
                  </a:lnTo>
                  <a:lnTo>
                    <a:pt x="123" y="138"/>
                  </a:lnTo>
                  <a:lnTo>
                    <a:pt x="119" y="138"/>
                  </a:lnTo>
                  <a:lnTo>
                    <a:pt x="110" y="132"/>
                  </a:lnTo>
                  <a:lnTo>
                    <a:pt x="103" y="128"/>
                  </a:lnTo>
                  <a:lnTo>
                    <a:pt x="98" y="129"/>
                  </a:lnTo>
                  <a:lnTo>
                    <a:pt x="92" y="133"/>
                  </a:lnTo>
                  <a:lnTo>
                    <a:pt x="90" y="137"/>
                  </a:lnTo>
                  <a:lnTo>
                    <a:pt x="89" y="148"/>
                  </a:lnTo>
                  <a:lnTo>
                    <a:pt x="87" y="150"/>
                  </a:lnTo>
                  <a:lnTo>
                    <a:pt x="81" y="149"/>
                  </a:lnTo>
                  <a:lnTo>
                    <a:pt x="80" y="152"/>
                  </a:lnTo>
                  <a:lnTo>
                    <a:pt x="77" y="154"/>
                  </a:lnTo>
                  <a:lnTo>
                    <a:pt x="64" y="160"/>
                  </a:lnTo>
                  <a:lnTo>
                    <a:pt x="56" y="171"/>
                  </a:lnTo>
                  <a:lnTo>
                    <a:pt x="48" y="172"/>
                  </a:lnTo>
                  <a:lnTo>
                    <a:pt x="44" y="173"/>
                  </a:lnTo>
                  <a:lnTo>
                    <a:pt x="40" y="177"/>
                  </a:lnTo>
                  <a:lnTo>
                    <a:pt x="36" y="179"/>
                  </a:lnTo>
                  <a:lnTo>
                    <a:pt x="33" y="177"/>
                  </a:lnTo>
                  <a:close/>
                </a:path>
              </a:pathLst>
            </a:custGeom>
            <a:solidFill>
              <a:srgbClr val="1A2232"/>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38" name="Freeform 22">
              <a:extLst>
                <a:ext uri="{FF2B5EF4-FFF2-40B4-BE49-F238E27FC236}">
                  <a16:creationId xmlns:a16="http://schemas.microsoft.com/office/drawing/2014/main" id="{00000000-0008-0000-0900-0000227E1200}"/>
                </a:ext>
              </a:extLst>
            </xdr:cNvPr>
            <xdr:cNvSpPr>
              <a:spLocks noChangeAspect="1"/>
            </xdr:cNvSpPr>
          </xdr:nvSpPr>
          <xdr:spPr bwMode="auto">
            <a:xfrm rot="238154">
              <a:off x="1671" y="2343"/>
              <a:ext cx="391" cy="386"/>
            </a:xfrm>
            <a:custGeom>
              <a:avLst/>
              <a:gdLst>
                <a:gd name="T0" fmla="*/ 398 w 316"/>
                <a:gd name="T1" fmla="*/ 2380 h 313"/>
                <a:gd name="T2" fmla="*/ 465 w 316"/>
                <a:gd name="T3" fmla="*/ 2230 h 313"/>
                <a:gd name="T4" fmla="*/ 609 w 316"/>
                <a:gd name="T5" fmla="*/ 2244 h 313"/>
                <a:gd name="T6" fmla="*/ 601 w 316"/>
                <a:gd name="T7" fmla="*/ 2369 h 313"/>
                <a:gd name="T8" fmla="*/ 710 w 316"/>
                <a:gd name="T9" fmla="*/ 2431 h 313"/>
                <a:gd name="T10" fmla="*/ 742 w 316"/>
                <a:gd name="T11" fmla="*/ 2341 h 313"/>
                <a:gd name="T12" fmla="*/ 807 w 316"/>
                <a:gd name="T13" fmla="*/ 2397 h 313"/>
                <a:gd name="T14" fmla="*/ 853 w 316"/>
                <a:gd name="T15" fmla="*/ 2339 h 313"/>
                <a:gd name="T16" fmla="*/ 879 w 316"/>
                <a:gd name="T17" fmla="*/ 2252 h 313"/>
                <a:gd name="T18" fmla="*/ 968 w 316"/>
                <a:gd name="T19" fmla="*/ 2189 h 313"/>
                <a:gd name="T20" fmla="*/ 1099 w 316"/>
                <a:gd name="T21" fmla="*/ 2101 h 313"/>
                <a:gd name="T22" fmla="*/ 1182 w 316"/>
                <a:gd name="T23" fmla="*/ 2173 h 313"/>
                <a:gd name="T24" fmla="*/ 1175 w 316"/>
                <a:gd name="T25" fmla="*/ 2244 h 313"/>
                <a:gd name="T26" fmla="*/ 1213 w 316"/>
                <a:gd name="T27" fmla="*/ 2301 h 313"/>
                <a:gd name="T28" fmla="*/ 1295 w 316"/>
                <a:gd name="T29" fmla="*/ 2369 h 313"/>
                <a:gd name="T30" fmla="*/ 1268 w 316"/>
                <a:gd name="T31" fmla="*/ 2470 h 313"/>
                <a:gd name="T32" fmla="*/ 1286 w 316"/>
                <a:gd name="T33" fmla="*/ 2519 h 313"/>
                <a:gd name="T34" fmla="*/ 1420 w 316"/>
                <a:gd name="T35" fmla="*/ 2479 h 313"/>
                <a:gd name="T36" fmla="*/ 1495 w 316"/>
                <a:gd name="T37" fmla="*/ 2381 h 313"/>
                <a:gd name="T38" fmla="*/ 1550 w 316"/>
                <a:gd name="T39" fmla="*/ 2301 h 313"/>
                <a:gd name="T40" fmla="*/ 1667 w 316"/>
                <a:gd name="T41" fmla="*/ 2252 h 313"/>
                <a:gd name="T42" fmla="*/ 1830 w 316"/>
                <a:gd name="T43" fmla="*/ 2341 h 313"/>
                <a:gd name="T44" fmla="*/ 1857 w 316"/>
                <a:gd name="T45" fmla="*/ 2230 h 313"/>
                <a:gd name="T46" fmla="*/ 1799 w 316"/>
                <a:gd name="T47" fmla="*/ 1952 h 313"/>
                <a:gd name="T48" fmla="*/ 1904 w 316"/>
                <a:gd name="T49" fmla="*/ 1723 h 313"/>
                <a:gd name="T50" fmla="*/ 1857 w 316"/>
                <a:gd name="T51" fmla="*/ 1643 h 313"/>
                <a:gd name="T52" fmla="*/ 1995 w 316"/>
                <a:gd name="T53" fmla="*/ 1603 h 313"/>
                <a:gd name="T54" fmla="*/ 2089 w 316"/>
                <a:gd name="T55" fmla="*/ 1558 h 313"/>
                <a:gd name="T56" fmla="*/ 2241 w 316"/>
                <a:gd name="T57" fmla="*/ 1544 h 313"/>
                <a:gd name="T58" fmla="*/ 2262 w 316"/>
                <a:gd name="T59" fmla="*/ 1357 h 313"/>
                <a:gd name="T60" fmla="*/ 2341 w 316"/>
                <a:gd name="T61" fmla="*/ 1237 h 313"/>
                <a:gd name="T62" fmla="*/ 2433 w 316"/>
                <a:gd name="T63" fmla="*/ 1080 h 313"/>
                <a:gd name="T64" fmla="*/ 2344 w 316"/>
                <a:gd name="T65" fmla="*/ 990 h 313"/>
                <a:gd name="T66" fmla="*/ 2418 w 316"/>
                <a:gd name="T67" fmla="*/ 765 h 313"/>
                <a:gd name="T68" fmla="*/ 2408 w 316"/>
                <a:gd name="T69" fmla="*/ 684 h 313"/>
                <a:gd name="T70" fmla="*/ 2449 w 316"/>
                <a:gd name="T71" fmla="*/ 572 h 313"/>
                <a:gd name="T72" fmla="*/ 2585 w 316"/>
                <a:gd name="T73" fmla="*/ 528 h 313"/>
                <a:gd name="T74" fmla="*/ 2634 w 316"/>
                <a:gd name="T75" fmla="*/ 365 h 313"/>
                <a:gd name="T76" fmla="*/ 2544 w 316"/>
                <a:gd name="T77" fmla="*/ 291 h 313"/>
                <a:gd name="T78" fmla="*/ 2482 w 316"/>
                <a:gd name="T79" fmla="*/ 236 h 313"/>
                <a:gd name="T80" fmla="*/ 2508 w 316"/>
                <a:gd name="T81" fmla="*/ 96 h 313"/>
                <a:gd name="T82" fmla="*/ 2322 w 316"/>
                <a:gd name="T83" fmla="*/ 0 h 313"/>
                <a:gd name="T84" fmla="*/ 2204 w 316"/>
                <a:gd name="T85" fmla="*/ 281 h 313"/>
                <a:gd name="T86" fmla="*/ 2056 w 316"/>
                <a:gd name="T87" fmla="*/ 733 h 313"/>
                <a:gd name="T88" fmla="*/ 1774 w 316"/>
                <a:gd name="T89" fmla="*/ 904 h 313"/>
                <a:gd name="T90" fmla="*/ 1554 w 316"/>
                <a:gd name="T91" fmla="*/ 1011 h 313"/>
                <a:gd name="T92" fmla="*/ 1343 w 316"/>
                <a:gd name="T93" fmla="*/ 1337 h 313"/>
                <a:gd name="T94" fmla="*/ 1031 w 316"/>
                <a:gd name="T95" fmla="*/ 1696 h 313"/>
                <a:gd name="T96" fmla="*/ 656 w 316"/>
                <a:gd name="T97" fmla="*/ 1913 h 313"/>
                <a:gd name="T98" fmla="*/ 208 w 316"/>
                <a:gd name="T99" fmla="*/ 2095 h 313"/>
                <a:gd name="T100" fmla="*/ 0 w 316"/>
                <a:gd name="T101" fmla="*/ 2230 h 313"/>
                <a:gd name="T102" fmla="*/ 32 w 316"/>
                <a:gd name="T103" fmla="*/ 2274 h 313"/>
                <a:gd name="T104" fmla="*/ 26 w 316"/>
                <a:gd name="T105" fmla="*/ 2341 h 313"/>
                <a:gd name="T106" fmla="*/ 40 w 316"/>
                <a:gd name="T107" fmla="*/ 2471 h 313"/>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0" t="0" r="r" b="b"/>
              <a:pathLst>
                <a:path w="316" h="313">
                  <a:moveTo>
                    <a:pt x="5" y="308"/>
                  </a:moveTo>
                  <a:lnTo>
                    <a:pt x="34" y="299"/>
                  </a:lnTo>
                  <a:lnTo>
                    <a:pt x="48" y="292"/>
                  </a:lnTo>
                  <a:lnTo>
                    <a:pt x="53" y="285"/>
                  </a:lnTo>
                  <a:lnTo>
                    <a:pt x="54" y="277"/>
                  </a:lnTo>
                  <a:lnTo>
                    <a:pt x="56" y="274"/>
                  </a:lnTo>
                  <a:lnTo>
                    <a:pt x="61" y="273"/>
                  </a:lnTo>
                  <a:lnTo>
                    <a:pt x="68" y="274"/>
                  </a:lnTo>
                  <a:lnTo>
                    <a:pt x="73" y="276"/>
                  </a:lnTo>
                  <a:lnTo>
                    <a:pt x="75" y="279"/>
                  </a:lnTo>
                  <a:lnTo>
                    <a:pt x="73" y="288"/>
                  </a:lnTo>
                  <a:lnTo>
                    <a:pt x="72" y="291"/>
                  </a:lnTo>
                  <a:lnTo>
                    <a:pt x="72" y="294"/>
                  </a:lnTo>
                  <a:lnTo>
                    <a:pt x="80" y="301"/>
                  </a:lnTo>
                  <a:lnTo>
                    <a:pt x="84" y="298"/>
                  </a:lnTo>
                  <a:lnTo>
                    <a:pt x="85" y="294"/>
                  </a:lnTo>
                  <a:lnTo>
                    <a:pt x="86" y="290"/>
                  </a:lnTo>
                  <a:lnTo>
                    <a:pt x="88" y="288"/>
                  </a:lnTo>
                  <a:lnTo>
                    <a:pt x="96" y="287"/>
                  </a:lnTo>
                  <a:lnTo>
                    <a:pt x="96" y="291"/>
                  </a:lnTo>
                  <a:lnTo>
                    <a:pt x="96" y="294"/>
                  </a:lnTo>
                  <a:lnTo>
                    <a:pt x="97" y="296"/>
                  </a:lnTo>
                  <a:lnTo>
                    <a:pt x="101" y="290"/>
                  </a:lnTo>
                  <a:lnTo>
                    <a:pt x="101" y="287"/>
                  </a:lnTo>
                  <a:lnTo>
                    <a:pt x="102" y="282"/>
                  </a:lnTo>
                  <a:lnTo>
                    <a:pt x="104" y="280"/>
                  </a:lnTo>
                  <a:lnTo>
                    <a:pt x="104" y="277"/>
                  </a:lnTo>
                  <a:lnTo>
                    <a:pt x="104" y="276"/>
                  </a:lnTo>
                  <a:lnTo>
                    <a:pt x="105" y="274"/>
                  </a:lnTo>
                  <a:lnTo>
                    <a:pt x="115" y="269"/>
                  </a:lnTo>
                  <a:lnTo>
                    <a:pt x="117" y="265"/>
                  </a:lnTo>
                  <a:lnTo>
                    <a:pt x="123" y="259"/>
                  </a:lnTo>
                  <a:lnTo>
                    <a:pt x="131" y="259"/>
                  </a:lnTo>
                  <a:lnTo>
                    <a:pt x="140" y="262"/>
                  </a:lnTo>
                  <a:lnTo>
                    <a:pt x="140" y="264"/>
                  </a:lnTo>
                  <a:lnTo>
                    <a:pt x="141" y="267"/>
                  </a:lnTo>
                  <a:lnTo>
                    <a:pt x="140" y="271"/>
                  </a:lnTo>
                  <a:lnTo>
                    <a:pt x="140" y="273"/>
                  </a:lnTo>
                  <a:lnTo>
                    <a:pt x="140" y="276"/>
                  </a:lnTo>
                  <a:lnTo>
                    <a:pt x="143" y="278"/>
                  </a:lnTo>
                  <a:lnTo>
                    <a:pt x="144" y="280"/>
                  </a:lnTo>
                  <a:lnTo>
                    <a:pt x="145" y="283"/>
                  </a:lnTo>
                  <a:lnTo>
                    <a:pt x="148" y="285"/>
                  </a:lnTo>
                  <a:lnTo>
                    <a:pt x="152" y="288"/>
                  </a:lnTo>
                  <a:lnTo>
                    <a:pt x="154" y="291"/>
                  </a:lnTo>
                  <a:lnTo>
                    <a:pt x="153" y="298"/>
                  </a:lnTo>
                  <a:lnTo>
                    <a:pt x="151" y="301"/>
                  </a:lnTo>
                  <a:lnTo>
                    <a:pt x="150" y="303"/>
                  </a:lnTo>
                  <a:lnTo>
                    <a:pt x="150" y="304"/>
                  </a:lnTo>
                  <a:lnTo>
                    <a:pt x="152" y="307"/>
                  </a:lnTo>
                  <a:lnTo>
                    <a:pt x="153" y="310"/>
                  </a:lnTo>
                  <a:lnTo>
                    <a:pt x="160" y="313"/>
                  </a:lnTo>
                  <a:lnTo>
                    <a:pt x="167" y="312"/>
                  </a:lnTo>
                  <a:lnTo>
                    <a:pt x="169" y="305"/>
                  </a:lnTo>
                  <a:lnTo>
                    <a:pt x="178" y="302"/>
                  </a:lnTo>
                  <a:lnTo>
                    <a:pt x="179" y="298"/>
                  </a:lnTo>
                  <a:lnTo>
                    <a:pt x="178" y="293"/>
                  </a:lnTo>
                  <a:lnTo>
                    <a:pt x="185" y="294"/>
                  </a:lnTo>
                  <a:lnTo>
                    <a:pt x="185" y="289"/>
                  </a:lnTo>
                  <a:lnTo>
                    <a:pt x="184" y="283"/>
                  </a:lnTo>
                  <a:lnTo>
                    <a:pt x="186" y="278"/>
                  </a:lnTo>
                  <a:lnTo>
                    <a:pt x="195" y="279"/>
                  </a:lnTo>
                  <a:lnTo>
                    <a:pt x="199" y="277"/>
                  </a:lnTo>
                  <a:lnTo>
                    <a:pt x="205" y="269"/>
                  </a:lnTo>
                  <a:lnTo>
                    <a:pt x="211" y="281"/>
                  </a:lnTo>
                  <a:lnTo>
                    <a:pt x="217" y="288"/>
                  </a:lnTo>
                  <a:lnTo>
                    <a:pt x="218" y="290"/>
                  </a:lnTo>
                  <a:lnTo>
                    <a:pt x="220" y="282"/>
                  </a:lnTo>
                  <a:lnTo>
                    <a:pt x="221" y="274"/>
                  </a:lnTo>
                  <a:lnTo>
                    <a:pt x="220" y="264"/>
                  </a:lnTo>
                  <a:lnTo>
                    <a:pt x="222" y="247"/>
                  </a:lnTo>
                  <a:lnTo>
                    <a:pt x="214" y="240"/>
                  </a:lnTo>
                  <a:lnTo>
                    <a:pt x="215" y="233"/>
                  </a:lnTo>
                  <a:lnTo>
                    <a:pt x="224" y="217"/>
                  </a:lnTo>
                  <a:lnTo>
                    <a:pt x="226" y="212"/>
                  </a:lnTo>
                  <a:lnTo>
                    <a:pt x="225" y="208"/>
                  </a:lnTo>
                  <a:lnTo>
                    <a:pt x="222" y="204"/>
                  </a:lnTo>
                  <a:lnTo>
                    <a:pt x="221" y="202"/>
                  </a:lnTo>
                  <a:lnTo>
                    <a:pt x="223" y="200"/>
                  </a:lnTo>
                  <a:lnTo>
                    <a:pt x="227" y="198"/>
                  </a:lnTo>
                  <a:lnTo>
                    <a:pt x="237" y="197"/>
                  </a:lnTo>
                  <a:lnTo>
                    <a:pt x="243" y="196"/>
                  </a:lnTo>
                  <a:lnTo>
                    <a:pt x="246" y="197"/>
                  </a:lnTo>
                  <a:lnTo>
                    <a:pt x="248" y="191"/>
                  </a:lnTo>
                  <a:lnTo>
                    <a:pt x="250" y="190"/>
                  </a:lnTo>
                  <a:lnTo>
                    <a:pt x="259" y="192"/>
                  </a:lnTo>
                  <a:lnTo>
                    <a:pt x="267" y="190"/>
                  </a:lnTo>
                  <a:lnTo>
                    <a:pt x="269" y="186"/>
                  </a:lnTo>
                  <a:lnTo>
                    <a:pt x="264" y="171"/>
                  </a:lnTo>
                  <a:lnTo>
                    <a:pt x="268" y="166"/>
                  </a:lnTo>
                  <a:lnTo>
                    <a:pt x="272" y="163"/>
                  </a:lnTo>
                  <a:lnTo>
                    <a:pt x="276" y="157"/>
                  </a:lnTo>
                  <a:lnTo>
                    <a:pt x="278" y="152"/>
                  </a:lnTo>
                  <a:lnTo>
                    <a:pt x="289" y="136"/>
                  </a:lnTo>
                  <a:lnTo>
                    <a:pt x="289" y="133"/>
                  </a:lnTo>
                  <a:lnTo>
                    <a:pt x="286" y="130"/>
                  </a:lnTo>
                  <a:lnTo>
                    <a:pt x="280" y="125"/>
                  </a:lnTo>
                  <a:lnTo>
                    <a:pt x="279" y="122"/>
                  </a:lnTo>
                  <a:lnTo>
                    <a:pt x="280" y="109"/>
                  </a:lnTo>
                  <a:lnTo>
                    <a:pt x="282" y="105"/>
                  </a:lnTo>
                  <a:lnTo>
                    <a:pt x="288" y="94"/>
                  </a:lnTo>
                  <a:lnTo>
                    <a:pt x="289" y="90"/>
                  </a:lnTo>
                  <a:lnTo>
                    <a:pt x="287" y="88"/>
                  </a:lnTo>
                  <a:lnTo>
                    <a:pt x="286" y="84"/>
                  </a:lnTo>
                  <a:lnTo>
                    <a:pt x="289" y="82"/>
                  </a:lnTo>
                  <a:lnTo>
                    <a:pt x="290" y="72"/>
                  </a:lnTo>
                  <a:lnTo>
                    <a:pt x="291" y="70"/>
                  </a:lnTo>
                  <a:lnTo>
                    <a:pt x="296" y="70"/>
                  </a:lnTo>
                  <a:lnTo>
                    <a:pt x="302" y="68"/>
                  </a:lnTo>
                  <a:lnTo>
                    <a:pt x="307" y="65"/>
                  </a:lnTo>
                  <a:lnTo>
                    <a:pt x="315" y="56"/>
                  </a:lnTo>
                  <a:lnTo>
                    <a:pt x="316" y="51"/>
                  </a:lnTo>
                  <a:lnTo>
                    <a:pt x="313" y="45"/>
                  </a:lnTo>
                  <a:lnTo>
                    <a:pt x="308" y="38"/>
                  </a:lnTo>
                  <a:lnTo>
                    <a:pt x="304" y="38"/>
                  </a:lnTo>
                  <a:lnTo>
                    <a:pt x="302" y="36"/>
                  </a:lnTo>
                  <a:lnTo>
                    <a:pt x="299" y="35"/>
                  </a:lnTo>
                  <a:lnTo>
                    <a:pt x="296" y="33"/>
                  </a:lnTo>
                  <a:lnTo>
                    <a:pt x="295" y="29"/>
                  </a:lnTo>
                  <a:lnTo>
                    <a:pt x="296" y="24"/>
                  </a:lnTo>
                  <a:lnTo>
                    <a:pt x="299" y="17"/>
                  </a:lnTo>
                  <a:lnTo>
                    <a:pt x="298" y="12"/>
                  </a:lnTo>
                  <a:lnTo>
                    <a:pt x="293" y="9"/>
                  </a:lnTo>
                  <a:lnTo>
                    <a:pt x="286" y="6"/>
                  </a:lnTo>
                  <a:lnTo>
                    <a:pt x="276" y="0"/>
                  </a:lnTo>
                  <a:lnTo>
                    <a:pt x="272" y="10"/>
                  </a:lnTo>
                  <a:lnTo>
                    <a:pt x="267" y="24"/>
                  </a:lnTo>
                  <a:lnTo>
                    <a:pt x="262" y="35"/>
                  </a:lnTo>
                  <a:lnTo>
                    <a:pt x="261" y="43"/>
                  </a:lnTo>
                  <a:lnTo>
                    <a:pt x="253" y="75"/>
                  </a:lnTo>
                  <a:lnTo>
                    <a:pt x="244" y="90"/>
                  </a:lnTo>
                  <a:lnTo>
                    <a:pt x="230" y="103"/>
                  </a:lnTo>
                  <a:lnTo>
                    <a:pt x="218" y="109"/>
                  </a:lnTo>
                  <a:lnTo>
                    <a:pt x="211" y="111"/>
                  </a:lnTo>
                  <a:lnTo>
                    <a:pt x="204" y="112"/>
                  </a:lnTo>
                  <a:lnTo>
                    <a:pt x="200" y="114"/>
                  </a:lnTo>
                  <a:lnTo>
                    <a:pt x="185" y="124"/>
                  </a:lnTo>
                  <a:lnTo>
                    <a:pt x="171" y="137"/>
                  </a:lnTo>
                  <a:lnTo>
                    <a:pt x="165" y="154"/>
                  </a:lnTo>
                  <a:lnTo>
                    <a:pt x="159" y="165"/>
                  </a:lnTo>
                  <a:lnTo>
                    <a:pt x="150" y="181"/>
                  </a:lnTo>
                  <a:lnTo>
                    <a:pt x="138" y="195"/>
                  </a:lnTo>
                  <a:lnTo>
                    <a:pt x="123" y="208"/>
                  </a:lnTo>
                  <a:lnTo>
                    <a:pt x="103" y="223"/>
                  </a:lnTo>
                  <a:lnTo>
                    <a:pt x="91" y="231"/>
                  </a:lnTo>
                  <a:lnTo>
                    <a:pt x="78" y="235"/>
                  </a:lnTo>
                  <a:lnTo>
                    <a:pt x="65" y="235"/>
                  </a:lnTo>
                  <a:lnTo>
                    <a:pt x="46" y="249"/>
                  </a:lnTo>
                  <a:lnTo>
                    <a:pt x="25" y="258"/>
                  </a:lnTo>
                  <a:lnTo>
                    <a:pt x="4" y="269"/>
                  </a:lnTo>
                  <a:lnTo>
                    <a:pt x="0" y="269"/>
                  </a:lnTo>
                  <a:lnTo>
                    <a:pt x="0" y="274"/>
                  </a:lnTo>
                  <a:lnTo>
                    <a:pt x="2" y="276"/>
                  </a:lnTo>
                  <a:lnTo>
                    <a:pt x="3" y="278"/>
                  </a:lnTo>
                  <a:lnTo>
                    <a:pt x="4" y="280"/>
                  </a:lnTo>
                  <a:lnTo>
                    <a:pt x="3" y="282"/>
                  </a:lnTo>
                  <a:lnTo>
                    <a:pt x="3" y="285"/>
                  </a:lnTo>
                  <a:lnTo>
                    <a:pt x="3" y="288"/>
                  </a:lnTo>
                  <a:lnTo>
                    <a:pt x="5" y="292"/>
                  </a:lnTo>
                  <a:lnTo>
                    <a:pt x="6" y="298"/>
                  </a:lnTo>
                  <a:lnTo>
                    <a:pt x="5" y="304"/>
                  </a:lnTo>
                  <a:lnTo>
                    <a:pt x="5" y="308"/>
                  </a:lnTo>
                  <a:close/>
                </a:path>
              </a:pathLst>
            </a:custGeom>
            <a:solidFill>
              <a:srgbClr val="1A2232"/>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39" name="Freeform 23">
              <a:extLst>
                <a:ext uri="{FF2B5EF4-FFF2-40B4-BE49-F238E27FC236}">
                  <a16:creationId xmlns:a16="http://schemas.microsoft.com/office/drawing/2014/main" id="{00000000-0008-0000-0900-0000237E1200}"/>
                </a:ext>
              </a:extLst>
            </xdr:cNvPr>
            <xdr:cNvSpPr>
              <a:spLocks noChangeAspect="1"/>
            </xdr:cNvSpPr>
          </xdr:nvSpPr>
          <xdr:spPr bwMode="auto">
            <a:xfrm rot="238154">
              <a:off x="1781" y="2395"/>
              <a:ext cx="60" cy="116"/>
            </a:xfrm>
            <a:custGeom>
              <a:avLst/>
              <a:gdLst>
                <a:gd name="T0" fmla="*/ 329 w 49"/>
                <a:gd name="T1" fmla="*/ 576 h 93"/>
                <a:gd name="T2" fmla="*/ 296 w 49"/>
                <a:gd name="T3" fmla="*/ 625 h 93"/>
                <a:gd name="T4" fmla="*/ 269 w 49"/>
                <a:gd name="T5" fmla="*/ 685 h 93"/>
                <a:gd name="T6" fmla="*/ 223 w 49"/>
                <a:gd name="T7" fmla="*/ 736 h 93"/>
                <a:gd name="T8" fmla="*/ 148 w 49"/>
                <a:gd name="T9" fmla="*/ 803 h 93"/>
                <a:gd name="T10" fmla="*/ 121 w 49"/>
                <a:gd name="T11" fmla="*/ 838 h 93"/>
                <a:gd name="T12" fmla="*/ 54 w 49"/>
                <a:gd name="T13" fmla="*/ 853 h 93"/>
                <a:gd name="T14" fmla="*/ 29 w 49"/>
                <a:gd name="T15" fmla="*/ 838 h 93"/>
                <a:gd name="T16" fmla="*/ 1 w 49"/>
                <a:gd name="T17" fmla="*/ 795 h 93"/>
                <a:gd name="T18" fmla="*/ 0 w 49"/>
                <a:gd name="T19" fmla="*/ 736 h 93"/>
                <a:gd name="T20" fmla="*/ 24 w 49"/>
                <a:gd name="T21" fmla="*/ 685 h 93"/>
                <a:gd name="T22" fmla="*/ 44 w 49"/>
                <a:gd name="T23" fmla="*/ 637 h 93"/>
                <a:gd name="T24" fmla="*/ 73 w 49"/>
                <a:gd name="T25" fmla="*/ 612 h 93"/>
                <a:gd name="T26" fmla="*/ 108 w 49"/>
                <a:gd name="T27" fmla="*/ 576 h 93"/>
                <a:gd name="T28" fmla="*/ 108 w 49"/>
                <a:gd name="T29" fmla="*/ 549 h 93"/>
                <a:gd name="T30" fmla="*/ 89 w 49"/>
                <a:gd name="T31" fmla="*/ 539 h 93"/>
                <a:gd name="T32" fmla="*/ 73 w 49"/>
                <a:gd name="T33" fmla="*/ 539 h 93"/>
                <a:gd name="T34" fmla="*/ 36 w 49"/>
                <a:gd name="T35" fmla="*/ 565 h 93"/>
                <a:gd name="T36" fmla="*/ 24 w 49"/>
                <a:gd name="T37" fmla="*/ 587 h 93"/>
                <a:gd name="T38" fmla="*/ 1 w 49"/>
                <a:gd name="T39" fmla="*/ 576 h 93"/>
                <a:gd name="T40" fmla="*/ 0 w 49"/>
                <a:gd name="T41" fmla="*/ 539 h 93"/>
                <a:gd name="T42" fmla="*/ 1 w 49"/>
                <a:gd name="T43" fmla="*/ 473 h 93"/>
                <a:gd name="T44" fmla="*/ 29 w 49"/>
                <a:gd name="T45" fmla="*/ 410 h 93"/>
                <a:gd name="T46" fmla="*/ 73 w 49"/>
                <a:gd name="T47" fmla="*/ 322 h 93"/>
                <a:gd name="T48" fmla="*/ 132 w 49"/>
                <a:gd name="T49" fmla="*/ 228 h 93"/>
                <a:gd name="T50" fmla="*/ 163 w 49"/>
                <a:gd name="T51" fmla="*/ 157 h 93"/>
                <a:gd name="T52" fmla="*/ 223 w 49"/>
                <a:gd name="T53" fmla="*/ 77 h 93"/>
                <a:gd name="T54" fmla="*/ 242 w 49"/>
                <a:gd name="T55" fmla="*/ 32 h 93"/>
                <a:gd name="T56" fmla="*/ 272 w 49"/>
                <a:gd name="T57" fmla="*/ 26 h 93"/>
                <a:gd name="T58" fmla="*/ 296 w 49"/>
                <a:gd name="T59" fmla="*/ 0 h 93"/>
                <a:gd name="T60" fmla="*/ 310 w 49"/>
                <a:gd name="T61" fmla="*/ 0 h 93"/>
                <a:gd name="T62" fmla="*/ 329 w 49"/>
                <a:gd name="T63" fmla="*/ 1 h 93"/>
                <a:gd name="T64" fmla="*/ 347 w 49"/>
                <a:gd name="T65" fmla="*/ 50 h 93"/>
                <a:gd name="T66" fmla="*/ 334 w 49"/>
                <a:gd name="T67" fmla="*/ 96 h 93"/>
                <a:gd name="T68" fmla="*/ 313 w 49"/>
                <a:gd name="T69" fmla="*/ 187 h 93"/>
                <a:gd name="T70" fmla="*/ 296 w 49"/>
                <a:gd name="T71" fmla="*/ 284 h 93"/>
                <a:gd name="T72" fmla="*/ 296 w 49"/>
                <a:gd name="T73" fmla="*/ 304 h 93"/>
                <a:gd name="T74" fmla="*/ 313 w 49"/>
                <a:gd name="T75" fmla="*/ 334 h 93"/>
                <a:gd name="T76" fmla="*/ 360 w 49"/>
                <a:gd name="T77" fmla="*/ 378 h 93"/>
                <a:gd name="T78" fmla="*/ 367 w 49"/>
                <a:gd name="T79" fmla="*/ 432 h 93"/>
                <a:gd name="T80" fmla="*/ 334 w 49"/>
                <a:gd name="T81" fmla="*/ 549 h 93"/>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0" t="0" r="r" b="b"/>
              <a:pathLst>
                <a:path w="49" h="93">
                  <a:moveTo>
                    <a:pt x="45" y="60"/>
                  </a:moveTo>
                  <a:lnTo>
                    <a:pt x="43" y="63"/>
                  </a:lnTo>
                  <a:lnTo>
                    <a:pt x="41" y="66"/>
                  </a:lnTo>
                  <a:lnTo>
                    <a:pt x="39" y="69"/>
                  </a:lnTo>
                  <a:lnTo>
                    <a:pt x="37" y="72"/>
                  </a:lnTo>
                  <a:lnTo>
                    <a:pt x="35" y="75"/>
                  </a:lnTo>
                  <a:lnTo>
                    <a:pt x="33" y="79"/>
                  </a:lnTo>
                  <a:lnTo>
                    <a:pt x="30" y="81"/>
                  </a:lnTo>
                  <a:lnTo>
                    <a:pt x="25" y="85"/>
                  </a:lnTo>
                  <a:lnTo>
                    <a:pt x="20" y="88"/>
                  </a:lnTo>
                  <a:lnTo>
                    <a:pt x="18" y="90"/>
                  </a:lnTo>
                  <a:lnTo>
                    <a:pt x="16" y="92"/>
                  </a:lnTo>
                  <a:lnTo>
                    <a:pt x="10" y="93"/>
                  </a:lnTo>
                  <a:lnTo>
                    <a:pt x="7" y="93"/>
                  </a:lnTo>
                  <a:lnTo>
                    <a:pt x="6" y="93"/>
                  </a:lnTo>
                  <a:lnTo>
                    <a:pt x="4" y="92"/>
                  </a:lnTo>
                  <a:lnTo>
                    <a:pt x="2" y="89"/>
                  </a:lnTo>
                  <a:lnTo>
                    <a:pt x="1" y="87"/>
                  </a:lnTo>
                  <a:lnTo>
                    <a:pt x="0" y="84"/>
                  </a:lnTo>
                  <a:lnTo>
                    <a:pt x="0" y="81"/>
                  </a:lnTo>
                  <a:lnTo>
                    <a:pt x="1" y="79"/>
                  </a:lnTo>
                  <a:lnTo>
                    <a:pt x="3" y="75"/>
                  </a:lnTo>
                  <a:lnTo>
                    <a:pt x="4" y="72"/>
                  </a:lnTo>
                  <a:lnTo>
                    <a:pt x="6" y="70"/>
                  </a:lnTo>
                  <a:lnTo>
                    <a:pt x="8" y="69"/>
                  </a:lnTo>
                  <a:lnTo>
                    <a:pt x="10" y="67"/>
                  </a:lnTo>
                  <a:lnTo>
                    <a:pt x="11" y="65"/>
                  </a:lnTo>
                  <a:lnTo>
                    <a:pt x="14" y="63"/>
                  </a:lnTo>
                  <a:lnTo>
                    <a:pt x="14" y="61"/>
                  </a:lnTo>
                  <a:lnTo>
                    <a:pt x="14" y="60"/>
                  </a:lnTo>
                  <a:lnTo>
                    <a:pt x="14" y="59"/>
                  </a:lnTo>
                  <a:lnTo>
                    <a:pt x="12" y="59"/>
                  </a:lnTo>
                  <a:lnTo>
                    <a:pt x="11" y="59"/>
                  </a:lnTo>
                  <a:lnTo>
                    <a:pt x="10" y="59"/>
                  </a:lnTo>
                  <a:lnTo>
                    <a:pt x="8" y="60"/>
                  </a:lnTo>
                  <a:lnTo>
                    <a:pt x="5" y="62"/>
                  </a:lnTo>
                  <a:lnTo>
                    <a:pt x="4" y="63"/>
                  </a:lnTo>
                  <a:lnTo>
                    <a:pt x="3" y="64"/>
                  </a:lnTo>
                  <a:lnTo>
                    <a:pt x="2" y="64"/>
                  </a:lnTo>
                  <a:lnTo>
                    <a:pt x="1" y="63"/>
                  </a:lnTo>
                  <a:lnTo>
                    <a:pt x="0" y="61"/>
                  </a:lnTo>
                  <a:lnTo>
                    <a:pt x="0" y="59"/>
                  </a:lnTo>
                  <a:lnTo>
                    <a:pt x="0" y="56"/>
                  </a:lnTo>
                  <a:lnTo>
                    <a:pt x="1" y="52"/>
                  </a:lnTo>
                  <a:lnTo>
                    <a:pt x="2" y="49"/>
                  </a:lnTo>
                  <a:lnTo>
                    <a:pt x="4" y="45"/>
                  </a:lnTo>
                  <a:lnTo>
                    <a:pt x="7" y="40"/>
                  </a:lnTo>
                  <a:lnTo>
                    <a:pt x="10" y="35"/>
                  </a:lnTo>
                  <a:lnTo>
                    <a:pt x="13" y="29"/>
                  </a:lnTo>
                  <a:lnTo>
                    <a:pt x="17" y="25"/>
                  </a:lnTo>
                  <a:lnTo>
                    <a:pt x="19" y="22"/>
                  </a:lnTo>
                  <a:lnTo>
                    <a:pt x="22" y="18"/>
                  </a:lnTo>
                  <a:lnTo>
                    <a:pt x="25" y="13"/>
                  </a:lnTo>
                  <a:lnTo>
                    <a:pt x="30" y="9"/>
                  </a:lnTo>
                  <a:lnTo>
                    <a:pt x="31" y="7"/>
                  </a:lnTo>
                  <a:lnTo>
                    <a:pt x="32" y="4"/>
                  </a:lnTo>
                  <a:lnTo>
                    <a:pt x="34" y="3"/>
                  </a:lnTo>
                  <a:lnTo>
                    <a:pt x="36" y="3"/>
                  </a:lnTo>
                  <a:lnTo>
                    <a:pt x="38" y="2"/>
                  </a:lnTo>
                  <a:lnTo>
                    <a:pt x="39" y="0"/>
                  </a:lnTo>
                  <a:lnTo>
                    <a:pt x="41" y="0"/>
                  </a:lnTo>
                  <a:lnTo>
                    <a:pt x="42" y="1"/>
                  </a:lnTo>
                  <a:lnTo>
                    <a:pt x="43" y="1"/>
                  </a:lnTo>
                  <a:lnTo>
                    <a:pt x="44" y="3"/>
                  </a:lnTo>
                  <a:lnTo>
                    <a:pt x="46" y="6"/>
                  </a:lnTo>
                  <a:lnTo>
                    <a:pt x="46" y="9"/>
                  </a:lnTo>
                  <a:lnTo>
                    <a:pt x="45" y="11"/>
                  </a:lnTo>
                  <a:lnTo>
                    <a:pt x="44" y="15"/>
                  </a:lnTo>
                  <a:lnTo>
                    <a:pt x="42" y="21"/>
                  </a:lnTo>
                  <a:lnTo>
                    <a:pt x="41" y="24"/>
                  </a:lnTo>
                  <a:lnTo>
                    <a:pt x="39" y="31"/>
                  </a:lnTo>
                  <a:lnTo>
                    <a:pt x="39" y="32"/>
                  </a:lnTo>
                  <a:lnTo>
                    <a:pt x="39" y="34"/>
                  </a:lnTo>
                  <a:lnTo>
                    <a:pt x="39" y="36"/>
                  </a:lnTo>
                  <a:lnTo>
                    <a:pt x="42" y="37"/>
                  </a:lnTo>
                  <a:lnTo>
                    <a:pt x="44" y="40"/>
                  </a:lnTo>
                  <a:lnTo>
                    <a:pt x="47" y="41"/>
                  </a:lnTo>
                  <a:lnTo>
                    <a:pt x="49" y="43"/>
                  </a:lnTo>
                  <a:lnTo>
                    <a:pt x="49" y="47"/>
                  </a:lnTo>
                  <a:lnTo>
                    <a:pt x="47" y="51"/>
                  </a:lnTo>
                  <a:lnTo>
                    <a:pt x="45" y="60"/>
                  </a:lnTo>
                  <a:close/>
                </a:path>
              </a:pathLst>
            </a:custGeom>
            <a:solidFill>
              <a:srgbClr val="1A2232"/>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40" name="Freeform 24">
              <a:extLst>
                <a:ext uri="{FF2B5EF4-FFF2-40B4-BE49-F238E27FC236}">
                  <a16:creationId xmlns:a16="http://schemas.microsoft.com/office/drawing/2014/main" id="{00000000-0008-0000-0900-0000247E1200}"/>
                </a:ext>
              </a:extLst>
            </xdr:cNvPr>
            <xdr:cNvSpPr>
              <a:spLocks noChangeAspect="1"/>
            </xdr:cNvSpPr>
          </xdr:nvSpPr>
          <xdr:spPr bwMode="auto">
            <a:xfrm rot="238154">
              <a:off x="1493" y="2656"/>
              <a:ext cx="170" cy="151"/>
            </a:xfrm>
            <a:custGeom>
              <a:avLst/>
              <a:gdLst>
                <a:gd name="T0" fmla="*/ 2 w 138"/>
                <a:gd name="T1" fmla="*/ 999 h 122"/>
                <a:gd name="T2" fmla="*/ 0 w 138"/>
                <a:gd name="T3" fmla="*/ 954 h 122"/>
                <a:gd name="T4" fmla="*/ 2 w 138"/>
                <a:gd name="T5" fmla="*/ 819 h 122"/>
                <a:gd name="T6" fmla="*/ 39 w 138"/>
                <a:gd name="T7" fmla="*/ 713 h 122"/>
                <a:gd name="T8" fmla="*/ 73 w 138"/>
                <a:gd name="T9" fmla="*/ 639 h 122"/>
                <a:gd name="T10" fmla="*/ 73 w 138"/>
                <a:gd name="T11" fmla="*/ 574 h 122"/>
                <a:gd name="T12" fmla="*/ 111 w 138"/>
                <a:gd name="T13" fmla="*/ 464 h 122"/>
                <a:gd name="T14" fmla="*/ 90 w 138"/>
                <a:gd name="T15" fmla="*/ 368 h 122"/>
                <a:gd name="T16" fmla="*/ 132 w 138"/>
                <a:gd name="T17" fmla="*/ 304 h 122"/>
                <a:gd name="T18" fmla="*/ 147 w 138"/>
                <a:gd name="T19" fmla="*/ 238 h 122"/>
                <a:gd name="T20" fmla="*/ 201 w 138"/>
                <a:gd name="T21" fmla="*/ 118 h 122"/>
                <a:gd name="T22" fmla="*/ 248 w 138"/>
                <a:gd name="T23" fmla="*/ 62 h 122"/>
                <a:gd name="T24" fmla="*/ 315 w 138"/>
                <a:gd name="T25" fmla="*/ 26 h 122"/>
                <a:gd name="T26" fmla="*/ 371 w 138"/>
                <a:gd name="T27" fmla="*/ 40 h 122"/>
                <a:gd name="T28" fmla="*/ 377 w 138"/>
                <a:gd name="T29" fmla="*/ 118 h 122"/>
                <a:gd name="T30" fmla="*/ 360 w 138"/>
                <a:gd name="T31" fmla="*/ 181 h 122"/>
                <a:gd name="T32" fmla="*/ 556 w 138"/>
                <a:gd name="T33" fmla="*/ 257 h 122"/>
                <a:gd name="T34" fmla="*/ 732 w 138"/>
                <a:gd name="T35" fmla="*/ 256 h 122"/>
                <a:gd name="T36" fmla="*/ 781 w 138"/>
                <a:gd name="T37" fmla="*/ 95 h 122"/>
                <a:gd name="T38" fmla="*/ 930 w 138"/>
                <a:gd name="T39" fmla="*/ 26 h 122"/>
                <a:gd name="T40" fmla="*/ 1069 w 138"/>
                <a:gd name="T41" fmla="*/ 40 h 122"/>
                <a:gd name="T42" fmla="*/ 1080 w 138"/>
                <a:gd name="T43" fmla="*/ 77 h 122"/>
                <a:gd name="T44" fmla="*/ 1080 w 138"/>
                <a:gd name="T45" fmla="*/ 110 h 122"/>
                <a:gd name="T46" fmla="*/ 1080 w 138"/>
                <a:gd name="T47" fmla="*/ 167 h 122"/>
                <a:gd name="T48" fmla="*/ 1111 w 138"/>
                <a:gd name="T49" fmla="*/ 246 h 122"/>
                <a:gd name="T50" fmla="*/ 1101 w 138"/>
                <a:gd name="T51" fmla="*/ 322 h 122"/>
                <a:gd name="T52" fmla="*/ 1101 w 138"/>
                <a:gd name="T53" fmla="*/ 394 h 122"/>
                <a:gd name="T54" fmla="*/ 1080 w 138"/>
                <a:gd name="T55" fmla="*/ 485 h 122"/>
                <a:gd name="T56" fmla="*/ 1069 w 138"/>
                <a:gd name="T57" fmla="*/ 595 h 122"/>
                <a:gd name="T58" fmla="*/ 1035 w 138"/>
                <a:gd name="T59" fmla="*/ 632 h 122"/>
                <a:gd name="T60" fmla="*/ 1021 w 138"/>
                <a:gd name="T61" fmla="*/ 710 h 122"/>
                <a:gd name="T62" fmla="*/ 981 w 138"/>
                <a:gd name="T63" fmla="*/ 781 h 122"/>
                <a:gd name="T64" fmla="*/ 951 w 138"/>
                <a:gd name="T65" fmla="*/ 837 h 122"/>
                <a:gd name="T66" fmla="*/ 894 w 138"/>
                <a:gd name="T67" fmla="*/ 882 h 122"/>
                <a:gd name="T68" fmla="*/ 871 w 138"/>
                <a:gd name="T69" fmla="*/ 895 h 122"/>
                <a:gd name="T70" fmla="*/ 844 w 138"/>
                <a:gd name="T71" fmla="*/ 843 h 122"/>
                <a:gd name="T72" fmla="*/ 804 w 138"/>
                <a:gd name="T73" fmla="*/ 829 h 122"/>
                <a:gd name="T74" fmla="*/ 758 w 138"/>
                <a:gd name="T75" fmla="*/ 829 h 122"/>
                <a:gd name="T76" fmla="*/ 724 w 138"/>
                <a:gd name="T77" fmla="*/ 782 h 122"/>
                <a:gd name="T78" fmla="*/ 647 w 138"/>
                <a:gd name="T79" fmla="*/ 806 h 122"/>
                <a:gd name="T80" fmla="*/ 615 w 138"/>
                <a:gd name="T81" fmla="*/ 756 h 122"/>
                <a:gd name="T82" fmla="*/ 556 w 138"/>
                <a:gd name="T83" fmla="*/ 771 h 122"/>
                <a:gd name="T84" fmla="*/ 482 w 138"/>
                <a:gd name="T85" fmla="*/ 743 h 122"/>
                <a:gd name="T86" fmla="*/ 439 w 138"/>
                <a:gd name="T87" fmla="*/ 791 h 122"/>
                <a:gd name="T88" fmla="*/ 377 w 138"/>
                <a:gd name="T89" fmla="*/ 837 h 122"/>
                <a:gd name="T90" fmla="*/ 346 w 138"/>
                <a:gd name="T91" fmla="*/ 911 h 122"/>
                <a:gd name="T92" fmla="*/ 301 w 138"/>
                <a:gd name="T93" fmla="*/ 979 h 122"/>
                <a:gd name="T94" fmla="*/ 272 w 138"/>
                <a:gd name="T95" fmla="*/ 998 h 122"/>
                <a:gd name="T96" fmla="*/ 244 w 138"/>
                <a:gd name="T97" fmla="*/ 936 h 122"/>
                <a:gd name="T98" fmla="*/ 169 w 138"/>
                <a:gd name="T99" fmla="*/ 882 h 122"/>
                <a:gd name="T100" fmla="*/ 111 w 138"/>
                <a:gd name="T101" fmla="*/ 926 h 122"/>
                <a:gd name="T102" fmla="*/ 63 w 138"/>
                <a:gd name="T103" fmla="*/ 954 h 122"/>
                <a:gd name="T104" fmla="*/ 26 w 138"/>
                <a:gd name="T105" fmla="*/ 1029 h 122"/>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0" t="0" r="r" b="b"/>
              <a:pathLst>
                <a:path w="138" h="122">
                  <a:moveTo>
                    <a:pt x="3" y="122"/>
                  </a:moveTo>
                  <a:lnTo>
                    <a:pt x="2" y="119"/>
                  </a:lnTo>
                  <a:lnTo>
                    <a:pt x="1" y="117"/>
                  </a:lnTo>
                  <a:lnTo>
                    <a:pt x="0" y="113"/>
                  </a:lnTo>
                  <a:lnTo>
                    <a:pt x="1" y="104"/>
                  </a:lnTo>
                  <a:lnTo>
                    <a:pt x="2" y="97"/>
                  </a:lnTo>
                  <a:lnTo>
                    <a:pt x="4" y="90"/>
                  </a:lnTo>
                  <a:lnTo>
                    <a:pt x="5" y="85"/>
                  </a:lnTo>
                  <a:lnTo>
                    <a:pt x="8" y="78"/>
                  </a:lnTo>
                  <a:lnTo>
                    <a:pt x="9" y="76"/>
                  </a:lnTo>
                  <a:lnTo>
                    <a:pt x="9" y="70"/>
                  </a:lnTo>
                  <a:lnTo>
                    <a:pt x="9" y="68"/>
                  </a:lnTo>
                  <a:lnTo>
                    <a:pt x="9" y="65"/>
                  </a:lnTo>
                  <a:lnTo>
                    <a:pt x="14" y="55"/>
                  </a:lnTo>
                  <a:lnTo>
                    <a:pt x="13" y="53"/>
                  </a:lnTo>
                  <a:lnTo>
                    <a:pt x="11" y="44"/>
                  </a:lnTo>
                  <a:lnTo>
                    <a:pt x="12" y="41"/>
                  </a:lnTo>
                  <a:lnTo>
                    <a:pt x="16" y="36"/>
                  </a:lnTo>
                  <a:lnTo>
                    <a:pt x="18" y="34"/>
                  </a:lnTo>
                  <a:lnTo>
                    <a:pt x="19" y="28"/>
                  </a:lnTo>
                  <a:lnTo>
                    <a:pt x="22" y="20"/>
                  </a:lnTo>
                  <a:lnTo>
                    <a:pt x="25" y="14"/>
                  </a:lnTo>
                  <a:lnTo>
                    <a:pt x="28" y="9"/>
                  </a:lnTo>
                  <a:lnTo>
                    <a:pt x="31" y="7"/>
                  </a:lnTo>
                  <a:lnTo>
                    <a:pt x="34" y="5"/>
                  </a:lnTo>
                  <a:lnTo>
                    <a:pt x="39" y="3"/>
                  </a:lnTo>
                  <a:lnTo>
                    <a:pt x="41" y="4"/>
                  </a:lnTo>
                  <a:lnTo>
                    <a:pt x="46" y="5"/>
                  </a:lnTo>
                  <a:lnTo>
                    <a:pt x="48" y="5"/>
                  </a:lnTo>
                  <a:lnTo>
                    <a:pt x="47" y="14"/>
                  </a:lnTo>
                  <a:lnTo>
                    <a:pt x="44" y="17"/>
                  </a:lnTo>
                  <a:lnTo>
                    <a:pt x="45" y="21"/>
                  </a:lnTo>
                  <a:lnTo>
                    <a:pt x="54" y="27"/>
                  </a:lnTo>
                  <a:lnTo>
                    <a:pt x="69" y="31"/>
                  </a:lnTo>
                  <a:lnTo>
                    <a:pt x="84" y="34"/>
                  </a:lnTo>
                  <a:lnTo>
                    <a:pt x="91" y="30"/>
                  </a:lnTo>
                  <a:lnTo>
                    <a:pt x="97" y="20"/>
                  </a:lnTo>
                  <a:lnTo>
                    <a:pt x="97" y="11"/>
                  </a:lnTo>
                  <a:lnTo>
                    <a:pt x="99" y="9"/>
                  </a:lnTo>
                  <a:lnTo>
                    <a:pt x="115" y="3"/>
                  </a:lnTo>
                  <a:lnTo>
                    <a:pt x="132" y="0"/>
                  </a:lnTo>
                  <a:lnTo>
                    <a:pt x="132" y="5"/>
                  </a:lnTo>
                  <a:lnTo>
                    <a:pt x="134" y="7"/>
                  </a:lnTo>
                  <a:lnTo>
                    <a:pt x="135" y="9"/>
                  </a:lnTo>
                  <a:lnTo>
                    <a:pt x="136" y="11"/>
                  </a:lnTo>
                  <a:lnTo>
                    <a:pt x="135" y="13"/>
                  </a:lnTo>
                  <a:lnTo>
                    <a:pt x="135" y="16"/>
                  </a:lnTo>
                  <a:lnTo>
                    <a:pt x="135" y="19"/>
                  </a:lnTo>
                  <a:lnTo>
                    <a:pt x="137" y="23"/>
                  </a:lnTo>
                  <a:lnTo>
                    <a:pt x="138" y="29"/>
                  </a:lnTo>
                  <a:lnTo>
                    <a:pt x="137" y="35"/>
                  </a:lnTo>
                  <a:lnTo>
                    <a:pt x="137" y="39"/>
                  </a:lnTo>
                  <a:lnTo>
                    <a:pt x="137" y="41"/>
                  </a:lnTo>
                  <a:lnTo>
                    <a:pt x="137" y="47"/>
                  </a:lnTo>
                  <a:lnTo>
                    <a:pt x="135" y="54"/>
                  </a:lnTo>
                  <a:lnTo>
                    <a:pt x="135" y="57"/>
                  </a:lnTo>
                  <a:lnTo>
                    <a:pt x="135" y="64"/>
                  </a:lnTo>
                  <a:lnTo>
                    <a:pt x="132" y="70"/>
                  </a:lnTo>
                  <a:lnTo>
                    <a:pt x="129" y="72"/>
                  </a:lnTo>
                  <a:lnTo>
                    <a:pt x="128" y="75"/>
                  </a:lnTo>
                  <a:lnTo>
                    <a:pt x="126" y="79"/>
                  </a:lnTo>
                  <a:lnTo>
                    <a:pt x="127" y="84"/>
                  </a:lnTo>
                  <a:lnTo>
                    <a:pt x="123" y="88"/>
                  </a:lnTo>
                  <a:lnTo>
                    <a:pt x="121" y="92"/>
                  </a:lnTo>
                  <a:lnTo>
                    <a:pt x="119" y="96"/>
                  </a:lnTo>
                  <a:lnTo>
                    <a:pt x="118" y="99"/>
                  </a:lnTo>
                  <a:lnTo>
                    <a:pt x="115" y="104"/>
                  </a:lnTo>
                  <a:lnTo>
                    <a:pt x="111" y="105"/>
                  </a:lnTo>
                  <a:lnTo>
                    <a:pt x="110" y="107"/>
                  </a:lnTo>
                  <a:lnTo>
                    <a:pt x="108" y="106"/>
                  </a:lnTo>
                  <a:lnTo>
                    <a:pt x="108" y="105"/>
                  </a:lnTo>
                  <a:lnTo>
                    <a:pt x="105" y="100"/>
                  </a:lnTo>
                  <a:lnTo>
                    <a:pt x="102" y="99"/>
                  </a:lnTo>
                  <a:lnTo>
                    <a:pt x="100" y="98"/>
                  </a:lnTo>
                  <a:lnTo>
                    <a:pt x="96" y="99"/>
                  </a:lnTo>
                  <a:lnTo>
                    <a:pt x="94" y="98"/>
                  </a:lnTo>
                  <a:lnTo>
                    <a:pt x="91" y="94"/>
                  </a:lnTo>
                  <a:lnTo>
                    <a:pt x="89" y="93"/>
                  </a:lnTo>
                  <a:lnTo>
                    <a:pt x="85" y="93"/>
                  </a:lnTo>
                  <a:lnTo>
                    <a:pt x="80" y="95"/>
                  </a:lnTo>
                  <a:lnTo>
                    <a:pt x="77" y="94"/>
                  </a:lnTo>
                  <a:lnTo>
                    <a:pt x="76" y="90"/>
                  </a:lnTo>
                  <a:lnTo>
                    <a:pt x="72" y="89"/>
                  </a:lnTo>
                  <a:lnTo>
                    <a:pt x="69" y="91"/>
                  </a:lnTo>
                  <a:lnTo>
                    <a:pt x="64" y="89"/>
                  </a:lnTo>
                  <a:lnTo>
                    <a:pt x="60" y="88"/>
                  </a:lnTo>
                  <a:lnTo>
                    <a:pt x="56" y="90"/>
                  </a:lnTo>
                  <a:lnTo>
                    <a:pt x="54" y="94"/>
                  </a:lnTo>
                  <a:lnTo>
                    <a:pt x="49" y="96"/>
                  </a:lnTo>
                  <a:lnTo>
                    <a:pt x="47" y="99"/>
                  </a:lnTo>
                  <a:lnTo>
                    <a:pt x="45" y="103"/>
                  </a:lnTo>
                  <a:lnTo>
                    <a:pt x="43" y="108"/>
                  </a:lnTo>
                  <a:lnTo>
                    <a:pt x="41" y="113"/>
                  </a:lnTo>
                  <a:lnTo>
                    <a:pt x="37" y="116"/>
                  </a:lnTo>
                  <a:lnTo>
                    <a:pt x="34" y="117"/>
                  </a:lnTo>
                  <a:lnTo>
                    <a:pt x="33" y="118"/>
                  </a:lnTo>
                  <a:lnTo>
                    <a:pt x="31" y="116"/>
                  </a:lnTo>
                  <a:lnTo>
                    <a:pt x="30" y="111"/>
                  </a:lnTo>
                  <a:lnTo>
                    <a:pt x="24" y="106"/>
                  </a:lnTo>
                  <a:lnTo>
                    <a:pt x="21" y="105"/>
                  </a:lnTo>
                  <a:lnTo>
                    <a:pt x="19" y="106"/>
                  </a:lnTo>
                  <a:lnTo>
                    <a:pt x="14" y="110"/>
                  </a:lnTo>
                  <a:lnTo>
                    <a:pt x="11" y="112"/>
                  </a:lnTo>
                  <a:lnTo>
                    <a:pt x="8" y="113"/>
                  </a:lnTo>
                  <a:lnTo>
                    <a:pt x="6" y="115"/>
                  </a:lnTo>
                  <a:lnTo>
                    <a:pt x="3" y="122"/>
                  </a:lnTo>
                  <a:close/>
                </a:path>
              </a:pathLst>
            </a:custGeom>
            <a:solidFill>
              <a:srgbClr val="BDC3C4"/>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41" name="Freeform 25">
              <a:extLst>
                <a:ext uri="{FF2B5EF4-FFF2-40B4-BE49-F238E27FC236}">
                  <a16:creationId xmlns:a16="http://schemas.microsoft.com/office/drawing/2014/main" id="{00000000-0008-0000-0900-0000257E1200}"/>
                </a:ext>
              </a:extLst>
            </xdr:cNvPr>
            <xdr:cNvSpPr>
              <a:spLocks noChangeAspect="1"/>
            </xdr:cNvSpPr>
          </xdr:nvSpPr>
          <xdr:spPr bwMode="auto">
            <a:xfrm rot="238154">
              <a:off x="1248" y="2772"/>
              <a:ext cx="223" cy="207"/>
            </a:xfrm>
            <a:custGeom>
              <a:avLst/>
              <a:gdLst>
                <a:gd name="T0" fmla="*/ 278 w 182"/>
                <a:gd name="T1" fmla="*/ 1413 h 167"/>
                <a:gd name="T2" fmla="*/ 222 w 182"/>
                <a:gd name="T3" fmla="*/ 1422 h 167"/>
                <a:gd name="T4" fmla="*/ 161 w 182"/>
                <a:gd name="T5" fmla="*/ 1413 h 167"/>
                <a:gd name="T6" fmla="*/ 74 w 182"/>
                <a:gd name="T7" fmla="*/ 1367 h 167"/>
                <a:gd name="T8" fmla="*/ 25 w 182"/>
                <a:gd name="T9" fmla="*/ 1253 h 167"/>
                <a:gd name="T10" fmla="*/ 0 w 182"/>
                <a:gd name="T11" fmla="*/ 1134 h 167"/>
                <a:gd name="T12" fmla="*/ 2 w 182"/>
                <a:gd name="T13" fmla="*/ 1047 h 167"/>
                <a:gd name="T14" fmla="*/ 87 w 182"/>
                <a:gd name="T15" fmla="*/ 1134 h 167"/>
                <a:gd name="T16" fmla="*/ 168 w 182"/>
                <a:gd name="T17" fmla="*/ 1073 h 167"/>
                <a:gd name="T18" fmla="*/ 181 w 182"/>
                <a:gd name="T19" fmla="*/ 1140 h 167"/>
                <a:gd name="T20" fmla="*/ 243 w 182"/>
                <a:gd name="T21" fmla="*/ 1096 h 167"/>
                <a:gd name="T22" fmla="*/ 227 w 182"/>
                <a:gd name="T23" fmla="*/ 1047 h 167"/>
                <a:gd name="T24" fmla="*/ 341 w 182"/>
                <a:gd name="T25" fmla="*/ 1047 h 167"/>
                <a:gd name="T26" fmla="*/ 401 w 182"/>
                <a:gd name="T27" fmla="*/ 956 h 167"/>
                <a:gd name="T28" fmla="*/ 538 w 182"/>
                <a:gd name="T29" fmla="*/ 905 h 167"/>
                <a:gd name="T30" fmla="*/ 572 w 182"/>
                <a:gd name="T31" fmla="*/ 785 h 167"/>
                <a:gd name="T32" fmla="*/ 613 w 182"/>
                <a:gd name="T33" fmla="*/ 829 h 167"/>
                <a:gd name="T34" fmla="*/ 664 w 182"/>
                <a:gd name="T35" fmla="*/ 905 h 167"/>
                <a:gd name="T36" fmla="*/ 640 w 182"/>
                <a:gd name="T37" fmla="*/ 699 h 167"/>
                <a:gd name="T38" fmla="*/ 542 w 182"/>
                <a:gd name="T39" fmla="*/ 467 h 167"/>
                <a:gd name="T40" fmla="*/ 720 w 182"/>
                <a:gd name="T41" fmla="*/ 207 h 167"/>
                <a:gd name="T42" fmla="*/ 918 w 182"/>
                <a:gd name="T43" fmla="*/ 0 h 167"/>
                <a:gd name="T44" fmla="*/ 945 w 182"/>
                <a:gd name="T45" fmla="*/ 109 h 167"/>
                <a:gd name="T46" fmla="*/ 978 w 182"/>
                <a:gd name="T47" fmla="*/ 169 h 167"/>
                <a:gd name="T48" fmla="*/ 1028 w 182"/>
                <a:gd name="T49" fmla="*/ 205 h 167"/>
                <a:gd name="T50" fmla="*/ 1079 w 182"/>
                <a:gd name="T51" fmla="*/ 239 h 167"/>
                <a:gd name="T52" fmla="*/ 1142 w 182"/>
                <a:gd name="T53" fmla="*/ 239 h 167"/>
                <a:gd name="T54" fmla="*/ 1214 w 182"/>
                <a:gd name="T55" fmla="*/ 286 h 167"/>
                <a:gd name="T56" fmla="*/ 1249 w 182"/>
                <a:gd name="T57" fmla="*/ 352 h 167"/>
                <a:gd name="T58" fmla="*/ 1291 w 182"/>
                <a:gd name="T59" fmla="*/ 355 h 167"/>
                <a:gd name="T60" fmla="*/ 1350 w 182"/>
                <a:gd name="T61" fmla="*/ 355 h 167"/>
                <a:gd name="T62" fmla="*/ 1361 w 182"/>
                <a:gd name="T63" fmla="*/ 367 h 167"/>
                <a:gd name="T64" fmla="*/ 1361 w 182"/>
                <a:gd name="T65" fmla="*/ 398 h 167"/>
                <a:gd name="T66" fmla="*/ 1312 w 182"/>
                <a:gd name="T67" fmla="*/ 428 h 167"/>
                <a:gd name="T68" fmla="*/ 1307 w 182"/>
                <a:gd name="T69" fmla="*/ 575 h 167"/>
                <a:gd name="T70" fmla="*/ 1332 w 182"/>
                <a:gd name="T71" fmla="*/ 599 h 167"/>
                <a:gd name="T72" fmla="*/ 1361 w 182"/>
                <a:gd name="T73" fmla="*/ 607 h 167"/>
                <a:gd name="T74" fmla="*/ 1387 w 182"/>
                <a:gd name="T75" fmla="*/ 676 h 167"/>
                <a:gd name="T76" fmla="*/ 1378 w 182"/>
                <a:gd name="T77" fmla="*/ 746 h 167"/>
                <a:gd name="T78" fmla="*/ 1332 w 182"/>
                <a:gd name="T79" fmla="*/ 793 h 167"/>
                <a:gd name="T80" fmla="*/ 1260 w 182"/>
                <a:gd name="T81" fmla="*/ 816 h 167"/>
                <a:gd name="T82" fmla="*/ 1234 w 182"/>
                <a:gd name="T83" fmla="*/ 787 h 167"/>
                <a:gd name="T84" fmla="*/ 1162 w 182"/>
                <a:gd name="T85" fmla="*/ 808 h 167"/>
                <a:gd name="T86" fmla="*/ 1087 w 182"/>
                <a:gd name="T87" fmla="*/ 838 h 167"/>
                <a:gd name="T88" fmla="*/ 1007 w 182"/>
                <a:gd name="T89" fmla="*/ 793 h 167"/>
                <a:gd name="T90" fmla="*/ 929 w 182"/>
                <a:gd name="T91" fmla="*/ 821 h 167"/>
                <a:gd name="T92" fmla="*/ 907 w 182"/>
                <a:gd name="T93" fmla="*/ 890 h 167"/>
                <a:gd name="T94" fmla="*/ 859 w 182"/>
                <a:gd name="T95" fmla="*/ 1002 h 167"/>
                <a:gd name="T96" fmla="*/ 793 w 182"/>
                <a:gd name="T97" fmla="*/ 932 h 167"/>
                <a:gd name="T98" fmla="*/ 751 w 182"/>
                <a:gd name="T99" fmla="*/ 994 h 167"/>
                <a:gd name="T100" fmla="*/ 771 w 182"/>
                <a:gd name="T101" fmla="*/ 1114 h 167"/>
                <a:gd name="T102" fmla="*/ 738 w 182"/>
                <a:gd name="T103" fmla="*/ 1134 h 167"/>
                <a:gd name="T104" fmla="*/ 713 w 182"/>
                <a:gd name="T105" fmla="*/ 1147 h 167"/>
                <a:gd name="T106" fmla="*/ 659 w 182"/>
                <a:gd name="T107" fmla="*/ 1185 h 167"/>
                <a:gd name="T108" fmla="*/ 604 w 182"/>
                <a:gd name="T109" fmla="*/ 1206 h 167"/>
                <a:gd name="T110" fmla="*/ 572 w 182"/>
                <a:gd name="T111" fmla="*/ 1213 h 167"/>
                <a:gd name="T112" fmla="*/ 538 w 182"/>
                <a:gd name="T113" fmla="*/ 1242 h 167"/>
                <a:gd name="T114" fmla="*/ 500 w 182"/>
                <a:gd name="T115" fmla="*/ 1298 h 167"/>
                <a:gd name="T116" fmla="*/ 491 w 182"/>
                <a:gd name="T117" fmla="*/ 1352 h 167"/>
                <a:gd name="T118" fmla="*/ 388 w 182"/>
                <a:gd name="T119" fmla="*/ 1349 h 167"/>
                <a:gd name="T120" fmla="*/ 333 w 182"/>
                <a:gd name="T121" fmla="*/ 1367 h 167"/>
                <a:gd name="T122" fmla="*/ 311 w 182"/>
                <a:gd name="T123" fmla="*/ 1391 h 167"/>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182" h="167">
                  <a:moveTo>
                    <a:pt x="41" y="162"/>
                  </a:moveTo>
                  <a:lnTo>
                    <a:pt x="37" y="165"/>
                  </a:lnTo>
                  <a:lnTo>
                    <a:pt x="33" y="167"/>
                  </a:lnTo>
                  <a:lnTo>
                    <a:pt x="29" y="166"/>
                  </a:lnTo>
                  <a:lnTo>
                    <a:pt x="25" y="164"/>
                  </a:lnTo>
                  <a:lnTo>
                    <a:pt x="20" y="165"/>
                  </a:lnTo>
                  <a:lnTo>
                    <a:pt x="14" y="162"/>
                  </a:lnTo>
                  <a:lnTo>
                    <a:pt x="10" y="160"/>
                  </a:lnTo>
                  <a:lnTo>
                    <a:pt x="8" y="155"/>
                  </a:lnTo>
                  <a:lnTo>
                    <a:pt x="3" y="146"/>
                  </a:lnTo>
                  <a:lnTo>
                    <a:pt x="2" y="140"/>
                  </a:lnTo>
                  <a:lnTo>
                    <a:pt x="0" y="132"/>
                  </a:lnTo>
                  <a:lnTo>
                    <a:pt x="1" y="123"/>
                  </a:lnTo>
                  <a:lnTo>
                    <a:pt x="2" y="123"/>
                  </a:lnTo>
                  <a:lnTo>
                    <a:pt x="4" y="130"/>
                  </a:lnTo>
                  <a:lnTo>
                    <a:pt x="11" y="132"/>
                  </a:lnTo>
                  <a:lnTo>
                    <a:pt x="18" y="127"/>
                  </a:lnTo>
                  <a:lnTo>
                    <a:pt x="22" y="126"/>
                  </a:lnTo>
                  <a:lnTo>
                    <a:pt x="20" y="132"/>
                  </a:lnTo>
                  <a:lnTo>
                    <a:pt x="24" y="133"/>
                  </a:lnTo>
                  <a:lnTo>
                    <a:pt x="33" y="130"/>
                  </a:lnTo>
                  <a:lnTo>
                    <a:pt x="32" y="128"/>
                  </a:lnTo>
                  <a:lnTo>
                    <a:pt x="29" y="125"/>
                  </a:lnTo>
                  <a:lnTo>
                    <a:pt x="30" y="123"/>
                  </a:lnTo>
                  <a:lnTo>
                    <a:pt x="39" y="121"/>
                  </a:lnTo>
                  <a:lnTo>
                    <a:pt x="45" y="123"/>
                  </a:lnTo>
                  <a:lnTo>
                    <a:pt x="48" y="119"/>
                  </a:lnTo>
                  <a:lnTo>
                    <a:pt x="52" y="112"/>
                  </a:lnTo>
                  <a:lnTo>
                    <a:pt x="66" y="108"/>
                  </a:lnTo>
                  <a:lnTo>
                    <a:pt x="70" y="106"/>
                  </a:lnTo>
                  <a:lnTo>
                    <a:pt x="70" y="100"/>
                  </a:lnTo>
                  <a:lnTo>
                    <a:pt x="75" y="91"/>
                  </a:lnTo>
                  <a:lnTo>
                    <a:pt x="79" y="92"/>
                  </a:lnTo>
                  <a:lnTo>
                    <a:pt x="81" y="97"/>
                  </a:lnTo>
                  <a:lnTo>
                    <a:pt x="84" y="107"/>
                  </a:lnTo>
                  <a:lnTo>
                    <a:pt x="87" y="106"/>
                  </a:lnTo>
                  <a:lnTo>
                    <a:pt x="90" y="95"/>
                  </a:lnTo>
                  <a:lnTo>
                    <a:pt x="84" y="82"/>
                  </a:lnTo>
                  <a:lnTo>
                    <a:pt x="77" y="72"/>
                  </a:lnTo>
                  <a:lnTo>
                    <a:pt x="71" y="55"/>
                  </a:lnTo>
                  <a:lnTo>
                    <a:pt x="85" y="32"/>
                  </a:lnTo>
                  <a:lnTo>
                    <a:pt x="95" y="24"/>
                  </a:lnTo>
                  <a:lnTo>
                    <a:pt x="108" y="9"/>
                  </a:lnTo>
                  <a:lnTo>
                    <a:pt x="120" y="0"/>
                  </a:lnTo>
                  <a:lnTo>
                    <a:pt x="122" y="6"/>
                  </a:lnTo>
                  <a:lnTo>
                    <a:pt x="124" y="12"/>
                  </a:lnTo>
                  <a:lnTo>
                    <a:pt x="126" y="16"/>
                  </a:lnTo>
                  <a:lnTo>
                    <a:pt x="128" y="20"/>
                  </a:lnTo>
                  <a:lnTo>
                    <a:pt x="130" y="22"/>
                  </a:lnTo>
                  <a:lnTo>
                    <a:pt x="135" y="23"/>
                  </a:lnTo>
                  <a:lnTo>
                    <a:pt x="137" y="28"/>
                  </a:lnTo>
                  <a:lnTo>
                    <a:pt x="141" y="28"/>
                  </a:lnTo>
                  <a:lnTo>
                    <a:pt x="144" y="28"/>
                  </a:lnTo>
                  <a:lnTo>
                    <a:pt x="150" y="28"/>
                  </a:lnTo>
                  <a:lnTo>
                    <a:pt x="155" y="31"/>
                  </a:lnTo>
                  <a:lnTo>
                    <a:pt x="159" y="34"/>
                  </a:lnTo>
                  <a:lnTo>
                    <a:pt x="161" y="38"/>
                  </a:lnTo>
                  <a:lnTo>
                    <a:pt x="164" y="41"/>
                  </a:lnTo>
                  <a:lnTo>
                    <a:pt x="167" y="42"/>
                  </a:lnTo>
                  <a:lnTo>
                    <a:pt x="170" y="42"/>
                  </a:lnTo>
                  <a:lnTo>
                    <a:pt x="174" y="42"/>
                  </a:lnTo>
                  <a:lnTo>
                    <a:pt x="177" y="42"/>
                  </a:lnTo>
                  <a:lnTo>
                    <a:pt x="179" y="43"/>
                  </a:lnTo>
                  <a:lnTo>
                    <a:pt x="179" y="46"/>
                  </a:lnTo>
                  <a:lnTo>
                    <a:pt x="179" y="47"/>
                  </a:lnTo>
                  <a:lnTo>
                    <a:pt x="174" y="49"/>
                  </a:lnTo>
                  <a:lnTo>
                    <a:pt x="172" y="50"/>
                  </a:lnTo>
                  <a:lnTo>
                    <a:pt x="171" y="52"/>
                  </a:lnTo>
                  <a:lnTo>
                    <a:pt x="171" y="67"/>
                  </a:lnTo>
                  <a:lnTo>
                    <a:pt x="172" y="68"/>
                  </a:lnTo>
                  <a:lnTo>
                    <a:pt x="175" y="69"/>
                  </a:lnTo>
                  <a:lnTo>
                    <a:pt x="176" y="70"/>
                  </a:lnTo>
                  <a:lnTo>
                    <a:pt x="179" y="71"/>
                  </a:lnTo>
                  <a:lnTo>
                    <a:pt x="181" y="73"/>
                  </a:lnTo>
                  <a:lnTo>
                    <a:pt x="182" y="79"/>
                  </a:lnTo>
                  <a:lnTo>
                    <a:pt x="182" y="85"/>
                  </a:lnTo>
                  <a:lnTo>
                    <a:pt x="180" y="87"/>
                  </a:lnTo>
                  <a:lnTo>
                    <a:pt x="178" y="92"/>
                  </a:lnTo>
                  <a:lnTo>
                    <a:pt x="175" y="93"/>
                  </a:lnTo>
                  <a:lnTo>
                    <a:pt x="168" y="94"/>
                  </a:lnTo>
                  <a:lnTo>
                    <a:pt x="165" y="95"/>
                  </a:lnTo>
                  <a:lnTo>
                    <a:pt x="163" y="95"/>
                  </a:lnTo>
                  <a:lnTo>
                    <a:pt x="162" y="92"/>
                  </a:lnTo>
                  <a:lnTo>
                    <a:pt x="159" y="91"/>
                  </a:lnTo>
                  <a:lnTo>
                    <a:pt x="153" y="94"/>
                  </a:lnTo>
                  <a:lnTo>
                    <a:pt x="146" y="96"/>
                  </a:lnTo>
                  <a:lnTo>
                    <a:pt x="143" y="98"/>
                  </a:lnTo>
                  <a:lnTo>
                    <a:pt x="137" y="96"/>
                  </a:lnTo>
                  <a:lnTo>
                    <a:pt x="132" y="93"/>
                  </a:lnTo>
                  <a:lnTo>
                    <a:pt x="126" y="92"/>
                  </a:lnTo>
                  <a:lnTo>
                    <a:pt x="122" y="96"/>
                  </a:lnTo>
                  <a:lnTo>
                    <a:pt x="120" y="100"/>
                  </a:lnTo>
                  <a:lnTo>
                    <a:pt x="119" y="104"/>
                  </a:lnTo>
                  <a:lnTo>
                    <a:pt x="117" y="118"/>
                  </a:lnTo>
                  <a:lnTo>
                    <a:pt x="113" y="117"/>
                  </a:lnTo>
                  <a:lnTo>
                    <a:pt x="108" y="112"/>
                  </a:lnTo>
                  <a:lnTo>
                    <a:pt x="104" y="109"/>
                  </a:lnTo>
                  <a:lnTo>
                    <a:pt x="100" y="110"/>
                  </a:lnTo>
                  <a:lnTo>
                    <a:pt x="99" y="116"/>
                  </a:lnTo>
                  <a:lnTo>
                    <a:pt x="101" y="123"/>
                  </a:lnTo>
                  <a:lnTo>
                    <a:pt x="101" y="130"/>
                  </a:lnTo>
                  <a:lnTo>
                    <a:pt x="101" y="132"/>
                  </a:lnTo>
                  <a:lnTo>
                    <a:pt x="96" y="132"/>
                  </a:lnTo>
                  <a:lnTo>
                    <a:pt x="93" y="132"/>
                  </a:lnTo>
                  <a:lnTo>
                    <a:pt x="93" y="134"/>
                  </a:lnTo>
                  <a:lnTo>
                    <a:pt x="90" y="138"/>
                  </a:lnTo>
                  <a:lnTo>
                    <a:pt x="86" y="139"/>
                  </a:lnTo>
                  <a:lnTo>
                    <a:pt x="82" y="140"/>
                  </a:lnTo>
                  <a:lnTo>
                    <a:pt x="79" y="140"/>
                  </a:lnTo>
                  <a:lnTo>
                    <a:pt x="78" y="143"/>
                  </a:lnTo>
                  <a:lnTo>
                    <a:pt x="75" y="142"/>
                  </a:lnTo>
                  <a:lnTo>
                    <a:pt x="73" y="140"/>
                  </a:lnTo>
                  <a:lnTo>
                    <a:pt x="70" y="145"/>
                  </a:lnTo>
                  <a:lnTo>
                    <a:pt x="69" y="147"/>
                  </a:lnTo>
                  <a:lnTo>
                    <a:pt x="66" y="152"/>
                  </a:lnTo>
                  <a:lnTo>
                    <a:pt x="65" y="156"/>
                  </a:lnTo>
                  <a:lnTo>
                    <a:pt x="64" y="158"/>
                  </a:lnTo>
                  <a:lnTo>
                    <a:pt x="58" y="158"/>
                  </a:lnTo>
                  <a:lnTo>
                    <a:pt x="51" y="157"/>
                  </a:lnTo>
                  <a:lnTo>
                    <a:pt x="46" y="158"/>
                  </a:lnTo>
                  <a:lnTo>
                    <a:pt x="44" y="160"/>
                  </a:lnTo>
                  <a:lnTo>
                    <a:pt x="41" y="162"/>
                  </a:lnTo>
                  <a:close/>
                </a:path>
              </a:pathLst>
            </a:custGeom>
            <a:solidFill>
              <a:srgbClr val="BDC3C4"/>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42" name="Freeform 26">
              <a:extLst>
                <a:ext uri="{FF2B5EF4-FFF2-40B4-BE49-F238E27FC236}">
                  <a16:creationId xmlns:a16="http://schemas.microsoft.com/office/drawing/2014/main" id="{00000000-0008-0000-0900-0000267E1200}"/>
                </a:ext>
              </a:extLst>
            </xdr:cNvPr>
            <xdr:cNvSpPr>
              <a:spLocks noChangeAspect="1"/>
            </xdr:cNvSpPr>
          </xdr:nvSpPr>
          <xdr:spPr bwMode="auto">
            <a:xfrm rot="238154">
              <a:off x="1589" y="2653"/>
              <a:ext cx="249" cy="392"/>
            </a:xfrm>
            <a:custGeom>
              <a:avLst/>
              <a:gdLst>
                <a:gd name="T0" fmla="*/ 396 w 201"/>
                <a:gd name="T1" fmla="*/ 2612 h 317"/>
                <a:gd name="T2" fmla="*/ 247 w 201"/>
                <a:gd name="T3" fmla="*/ 2636 h 317"/>
                <a:gd name="T4" fmla="*/ 168 w 201"/>
                <a:gd name="T5" fmla="*/ 2573 h 317"/>
                <a:gd name="T6" fmla="*/ 247 w 201"/>
                <a:gd name="T7" fmla="*/ 2503 h 317"/>
                <a:gd name="T8" fmla="*/ 284 w 201"/>
                <a:gd name="T9" fmla="*/ 2398 h 317"/>
                <a:gd name="T10" fmla="*/ 326 w 201"/>
                <a:gd name="T11" fmla="*/ 2264 h 317"/>
                <a:gd name="T12" fmla="*/ 239 w 201"/>
                <a:gd name="T13" fmla="*/ 2223 h 317"/>
                <a:gd name="T14" fmla="*/ 229 w 201"/>
                <a:gd name="T15" fmla="*/ 2081 h 317"/>
                <a:gd name="T16" fmla="*/ 149 w 201"/>
                <a:gd name="T17" fmla="*/ 1939 h 317"/>
                <a:gd name="T18" fmla="*/ 2 w 201"/>
                <a:gd name="T19" fmla="*/ 1829 h 317"/>
                <a:gd name="T20" fmla="*/ 50 w 201"/>
                <a:gd name="T21" fmla="*/ 1719 h 317"/>
                <a:gd name="T22" fmla="*/ 146 w 201"/>
                <a:gd name="T23" fmla="*/ 1683 h 317"/>
                <a:gd name="T24" fmla="*/ 224 w 201"/>
                <a:gd name="T25" fmla="*/ 1590 h 317"/>
                <a:gd name="T26" fmla="*/ 284 w 201"/>
                <a:gd name="T27" fmla="*/ 1460 h 317"/>
                <a:gd name="T28" fmla="*/ 224 w 201"/>
                <a:gd name="T29" fmla="*/ 1390 h 317"/>
                <a:gd name="T30" fmla="*/ 256 w 201"/>
                <a:gd name="T31" fmla="*/ 1248 h 317"/>
                <a:gd name="T32" fmla="*/ 320 w 201"/>
                <a:gd name="T33" fmla="*/ 1124 h 317"/>
                <a:gd name="T34" fmla="*/ 208 w 201"/>
                <a:gd name="T35" fmla="*/ 977 h 317"/>
                <a:gd name="T36" fmla="*/ 285 w 201"/>
                <a:gd name="T37" fmla="*/ 880 h 317"/>
                <a:gd name="T38" fmla="*/ 352 w 201"/>
                <a:gd name="T39" fmla="*/ 743 h 317"/>
                <a:gd name="T40" fmla="*/ 425 w 201"/>
                <a:gd name="T41" fmla="*/ 622 h 317"/>
                <a:gd name="T42" fmla="*/ 437 w 201"/>
                <a:gd name="T43" fmla="*/ 425 h 317"/>
                <a:gd name="T44" fmla="*/ 857 w 201"/>
                <a:gd name="T45" fmla="*/ 218 h 317"/>
                <a:gd name="T46" fmla="*/ 976 w 201"/>
                <a:gd name="T47" fmla="*/ 125 h 317"/>
                <a:gd name="T48" fmla="*/ 1010 w 201"/>
                <a:gd name="T49" fmla="*/ 270 h 317"/>
                <a:gd name="T50" fmla="*/ 1124 w 201"/>
                <a:gd name="T51" fmla="*/ 293 h 317"/>
                <a:gd name="T52" fmla="*/ 1213 w 201"/>
                <a:gd name="T53" fmla="*/ 270 h 317"/>
                <a:gd name="T54" fmla="*/ 1259 w 201"/>
                <a:gd name="T55" fmla="*/ 237 h 317"/>
                <a:gd name="T56" fmla="*/ 1285 w 201"/>
                <a:gd name="T57" fmla="*/ 142 h 317"/>
                <a:gd name="T58" fmla="*/ 1447 w 201"/>
                <a:gd name="T59" fmla="*/ 0 h 317"/>
                <a:gd name="T60" fmla="*/ 1601 w 201"/>
                <a:gd name="T61" fmla="*/ 66 h 317"/>
                <a:gd name="T62" fmla="*/ 1614 w 201"/>
                <a:gd name="T63" fmla="*/ 155 h 317"/>
                <a:gd name="T64" fmla="*/ 1697 w 201"/>
                <a:gd name="T65" fmla="*/ 246 h 317"/>
                <a:gd name="T66" fmla="*/ 1675 w 201"/>
                <a:gd name="T67" fmla="*/ 367 h 317"/>
                <a:gd name="T68" fmla="*/ 1634 w 201"/>
                <a:gd name="T69" fmla="*/ 464 h 317"/>
                <a:gd name="T70" fmla="*/ 1498 w 201"/>
                <a:gd name="T71" fmla="*/ 554 h 317"/>
                <a:gd name="T72" fmla="*/ 1370 w 201"/>
                <a:gd name="T73" fmla="*/ 856 h 317"/>
                <a:gd name="T74" fmla="*/ 1487 w 201"/>
                <a:gd name="T75" fmla="*/ 909 h 317"/>
                <a:gd name="T76" fmla="*/ 1608 w 201"/>
                <a:gd name="T77" fmla="*/ 918 h 317"/>
                <a:gd name="T78" fmla="*/ 1576 w 201"/>
                <a:gd name="T79" fmla="*/ 1124 h 317"/>
                <a:gd name="T80" fmla="*/ 1576 w 201"/>
                <a:gd name="T81" fmla="*/ 1268 h 317"/>
                <a:gd name="T82" fmla="*/ 1592 w 201"/>
                <a:gd name="T83" fmla="*/ 1407 h 317"/>
                <a:gd name="T84" fmla="*/ 1648 w 201"/>
                <a:gd name="T85" fmla="*/ 1568 h 317"/>
                <a:gd name="T86" fmla="*/ 1608 w 201"/>
                <a:gd name="T87" fmla="*/ 1695 h 317"/>
                <a:gd name="T88" fmla="*/ 1487 w 201"/>
                <a:gd name="T89" fmla="*/ 1663 h 317"/>
                <a:gd name="T90" fmla="*/ 1292 w 201"/>
                <a:gd name="T91" fmla="*/ 1598 h 317"/>
                <a:gd name="T92" fmla="*/ 1168 w 201"/>
                <a:gd name="T93" fmla="*/ 1661 h 317"/>
                <a:gd name="T94" fmla="*/ 1065 w 201"/>
                <a:gd name="T95" fmla="*/ 1939 h 317"/>
                <a:gd name="T96" fmla="*/ 1146 w 201"/>
                <a:gd name="T97" fmla="*/ 2029 h 317"/>
                <a:gd name="T98" fmla="*/ 1073 w 201"/>
                <a:gd name="T99" fmla="*/ 2232 h 317"/>
                <a:gd name="T100" fmla="*/ 1037 w 201"/>
                <a:gd name="T101" fmla="*/ 2342 h 317"/>
                <a:gd name="T102" fmla="*/ 925 w 201"/>
                <a:gd name="T103" fmla="*/ 2481 h 317"/>
                <a:gd name="T104" fmla="*/ 747 w 201"/>
                <a:gd name="T105" fmla="*/ 2617 h 317"/>
                <a:gd name="T106" fmla="*/ 603 w 201"/>
                <a:gd name="T107" fmla="*/ 2629 h 317"/>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0" t="0" r="r" b="b"/>
              <a:pathLst>
                <a:path w="201" h="317">
                  <a:moveTo>
                    <a:pt x="71" y="314"/>
                  </a:moveTo>
                  <a:lnTo>
                    <a:pt x="59" y="315"/>
                  </a:lnTo>
                  <a:lnTo>
                    <a:pt x="52" y="314"/>
                  </a:lnTo>
                  <a:lnTo>
                    <a:pt x="47" y="312"/>
                  </a:lnTo>
                  <a:lnTo>
                    <a:pt x="40" y="314"/>
                  </a:lnTo>
                  <a:lnTo>
                    <a:pt x="34" y="316"/>
                  </a:lnTo>
                  <a:lnTo>
                    <a:pt x="31" y="317"/>
                  </a:lnTo>
                  <a:lnTo>
                    <a:pt x="29" y="315"/>
                  </a:lnTo>
                  <a:lnTo>
                    <a:pt x="26" y="312"/>
                  </a:lnTo>
                  <a:lnTo>
                    <a:pt x="24" y="309"/>
                  </a:lnTo>
                  <a:lnTo>
                    <a:pt x="22" y="309"/>
                  </a:lnTo>
                  <a:lnTo>
                    <a:pt x="20" y="308"/>
                  </a:lnTo>
                  <a:lnTo>
                    <a:pt x="22" y="307"/>
                  </a:lnTo>
                  <a:lnTo>
                    <a:pt x="26" y="305"/>
                  </a:lnTo>
                  <a:lnTo>
                    <a:pt x="27" y="303"/>
                  </a:lnTo>
                  <a:lnTo>
                    <a:pt x="29" y="299"/>
                  </a:lnTo>
                  <a:lnTo>
                    <a:pt x="30" y="295"/>
                  </a:lnTo>
                  <a:lnTo>
                    <a:pt x="32" y="291"/>
                  </a:lnTo>
                  <a:lnTo>
                    <a:pt x="33" y="288"/>
                  </a:lnTo>
                  <a:lnTo>
                    <a:pt x="33" y="286"/>
                  </a:lnTo>
                  <a:lnTo>
                    <a:pt x="34" y="282"/>
                  </a:lnTo>
                  <a:lnTo>
                    <a:pt x="36" y="280"/>
                  </a:lnTo>
                  <a:lnTo>
                    <a:pt x="38" y="276"/>
                  </a:lnTo>
                  <a:lnTo>
                    <a:pt x="39" y="272"/>
                  </a:lnTo>
                  <a:lnTo>
                    <a:pt x="37" y="271"/>
                  </a:lnTo>
                  <a:lnTo>
                    <a:pt x="34" y="270"/>
                  </a:lnTo>
                  <a:lnTo>
                    <a:pt x="30" y="269"/>
                  </a:lnTo>
                  <a:lnTo>
                    <a:pt x="28" y="266"/>
                  </a:lnTo>
                  <a:lnTo>
                    <a:pt x="23" y="258"/>
                  </a:lnTo>
                  <a:lnTo>
                    <a:pt x="24" y="255"/>
                  </a:lnTo>
                  <a:lnTo>
                    <a:pt x="26" y="253"/>
                  </a:lnTo>
                  <a:lnTo>
                    <a:pt x="27" y="249"/>
                  </a:lnTo>
                  <a:lnTo>
                    <a:pt x="26" y="245"/>
                  </a:lnTo>
                  <a:lnTo>
                    <a:pt x="25" y="242"/>
                  </a:lnTo>
                  <a:lnTo>
                    <a:pt x="19" y="235"/>
                  </a:lnTo>
                  <a:lnTo>
                    <a:pt x="18" y="231"/>
                  </a:lnTo>
                  <a:lnTo>
                    <a:pt x="14" y="229"/>
                  </a:lnTo>
                  <a:lnTo>
                    <a:pt x="8" y="223"/>
                  </a:lnTo>
                  <a:lnTo>
                    <a:pt x="5" y="219"/>
                  </a:lnTo>
                  <a:lnTo>
                    <a:pt x="2" y="218"/>
                  </a:lnTo>
                  <a:lnTo>
                    <a:pt x="0" y="216"/>
                  </a:lnTo>
                  <a:lnTo>
                    <a:pt x="1" y="213"/>
                  </a:lnTo>
                  <a:lnTo>
                    <a:pt x="4" y="209"/>
                  </a:lnTo>
                  <a:lnTo>
                    <a:pt x="6" y="205"/>
                  </a:lnTo>
                  <a:lnTo>
                    <a:pt x="8" y="204"/>
                  </a:lnTo>
                  <a:lnTo>
                    <a:pt x="12" y="203"/>
                  </a:lnTo>
                  <a:lnTo>
                    <a:pt x="16" y="203"/>
                  </a:lnTo>
                  <a:lnTo>
                    <a:pt x="17" y="201"/>
                  </a:lnTo>
                  <a:lnTo>
                    <a:pt x="19" y="198"/>
                  </a:lnTo>
                  <a:lnTo>
                    <a:pt x="21" y="196"/>
                  </a:lnTo>
                  <a:lnTo>
                    <a:pt x="24" y="193"/>
                  </a:lnTo>
                  <a:lnTo>
                    <a:pt x="26" y="190"/>
                  </a:lnTo>
                  <a:lnTo>
                    <a:pt x="27" y="186"/>
                  </a:lnTo>
                  <a:lnTo>
                    <a:pt x="29" y="183"/>
                  </a:lnTo>
                  <a:lnTo>
                    <a:pt x="32" y="179"/>
                  </a:lnTo>
                  <a:lnTo>
                    <a:pt x="33" y="175"/>
                  </a:lnTo>
                  <a:lnTo>
                    <a:pt x="31" y="173"/>
                  </a:lnTo>
                  <a:lnTo>
                    <a:pt x="28" y="170"/>
                  </a:lnTo>
                  <a:lnTo>
                    <a:pt x="26" y="168"/>
                  </a:lnTo>
                  <a:lnTo>
                    <a:pt x="26" y="166"/>
                  </a:lnTo>
                  <a:lnTo>
                    <a:pt x="28" y="162"/>
                  </a:lnTo>
                  <a:lnTo>
                    <a:pt x="32" y="158"/>
                  </a:lnTo>
                  <a:lnTo>
                    <a:pt x="32" y="154"/>
                  </a:lnTo>
                  <a:lnTo>
                    <a:pt x="30" y="149"/>
                  </a:lnTo>
                  <a:lnTo>
                    <a:pt x="30" y="147"/>
                  </a:lnTo>
                  <a:lnTo>
                    <a:pt x="33" y="142"/>
                  </a:lnTo>
                  <a:lnTo>
                    <a:pt x="36" y="137"/>
                  </a:lnTo>
                  <a:lnTo>
                    <a:pt x="38" y="134"/>
                  </a:lnTo>
                  <a:lnTo>
                    <a:pt x="38" y="131"/>
                  </a:lnTo>
                  <a:lnTo>
                    <a:pt x="36" y="128"/>
                  </a:lnTo>
                  <a:lnTo>
                    <a:pt x="33" y="124"/>
                  </a:lnTo>
                  <a:lnTo>
                    <a:pt x="25" y="117"/>
                  </a:lnTo>
                  <a:lnTo>
                    <a:pt x="26" y="115"/>
                  </a:lnTo>
                  <a:lnTo>
                    <a:pt x="30" y="114"/>
                  </a:lnTo>
                  <a:lnTo>
                    <a:pt x="33" y="109"/>
                  </a:lnTo>
                  <a:lnTo>
                    <a:pt x="34" y="106"/>
                  </a:lnTo>
                  <a:lnTo>
                    <a:pt x="36" y="102"/>
                  </a:lnTo>
                  <a:lnTo>
                    <a:pt x="38" y="98"/>
                  </a:lnTo>
                  <a:lnTo>
                    <a:pt x="42" y="94"/>
                  </a:lnTo>
                  <a:lnTo>
                    <a:pt x="41" y="89"/>
                  </a:lnTo>
                  <a:lnTo>
                    <a:pt x="43" y="85"/>
                  </a:lnTo>
                  <a:lnTo>
                    <a:pt x="44" y="82"/>
                  </a:lnTo>
                  <a:lnTo>
                    <a:pt x="47" y="80"/>
                  </a:lnTo>
                  <a:lnTo>
                    <a:pt x="50" y="74"/>
                  </a:lnTo>
                  <a:lnTo>
                    <a:pt x="50" y="67"/>
                  </a:lnTo>
                  <a:lnTo>
                    <a:pt x="50" y="64"/>
                  </a:lnTo>
                  <a:lnTo>
                    <a:pt x="52" y="57"/>
                  </a:lnTo>
                  <a:lnTo>
                    <a:pt x="52" y="51"/>
                  </a:lnTo>
                  <a:lnTo>
                    <a:pt x="52" y="49"/>
                  </a:lnTo>
                  <a:lnTo>
                    <a:pt x="81" y="40"/>
                  </a:lnTo>
                  <a:lnTo>
                    <a:pt x="95" y="33"/>
                  </a:lnTo>
                  <a:lnTo>
                    <a:pt x="100" y="26"/>
                  </a:lnTo>
                  <a:lnTo>
                    <a:pt x="101" y="18"/>
                  </a:lnTo>
                  <a:lnTo>
                    <a:pt x="103" y="15"/>
                  </a:lnTo>
                  <a:lnTo>
                    <a:pt x="108" y="14"/>
                  </a:lnTo>
                  <a:lnTo>
                    <a:pt x="115" y="15"/>
                  </a:lnTo>
                  <a:lnTo>
                    <a:pt x="120" y="17"/>
                  </a:lnTo>
                  <a:lnTo>
                    <a:pt x="122" y="20"/>
                  </a:lnTo>
                  <a:lnTo>
                    <a:pt x="120" y="29"/>
                  </a:lnTo>
                  <a:lnTo>
                    <a:pt x="119" y="32"/>
                  </a:lnTo>
                  <a:lnTo>
                    <a:pt x="119" y="35"/>
                  </a:lnTo>
                  <a:lnTo>
                    <a:pt x="127" y="42"/>
                  </a:lnTo>
                  <a:lnTo>
                    <a:pt x="131" y="39"/>
                  </a:lnTo>
                  <a:lnTo>
                    <a:pt x="132" y="35"/>
                  </a:lnTo>
                  <a:lnTo>
                    <a:pt x="133" y="31"/>
                  </a:lnTo>
                  <a:lnTo>
                    <a:pt x="135" y="29"/>
                  </a:lnTo>
                  <a:lnTo>
                    <a:pt x="143" y="28"/>
                  </a:lnTo>
                  <a:lnTo>
                    <a:pt x="143" y="32"/>
                  </a:lnTo>
                  <a:lnTo>
                    <a:pt x="143" y="35"/>
                  </a:lnTo>
                  <a:lnTo>
                    <a:pt x="144" y="37"/>
                  </a:lnTo>
                  <a:lnTo>
                    <a:pt x="148" y="31"/>
                  </a:lnTo>
                  <a:lnTo>
                    <a:pt x="148" y="28"/>
                  </a:lnTo>
                  <a:lnTo>
                    <a:pt x="149" y="23"/>
                  </a:lnTo>
                  <a:lnTo>
                    <a:pt x="151" y="21"/>
                  </a:lnTo>
                  <a:lnTo>
                    <a:pt x="151" y="18"/>
                  </a:lnTo>
                  <a:lnTo>
                    <a:pt x="151" y="17"/>
                  </a:lnTo>
                  <a:lnTo>
                    <a:pt x="152" y="15"/>
                  </a:lnTo>
                  <a:lnTo>
                    <a:pt x="162" y="10"/>
                  </a:lnTo>
                  <a:lnTo>
                    <a:pt x="164" y="6"/>
                  </a:lnTo>
                  <a:lnTo>
                    <a:pt x="170" y="0"/>
                  </a:lnTo>
                  <a:lnTo>
                    <a:pt x="178" y="0"/>
                  </a:lnTo>
                  <a:lnTo>
                    <a:pt x="187" y="3"/>
                  </a:lnTo>
                  <a:lnTo>
                    <a:pt x="187" y="5"/>
                  </a:lnTo>
                  <a:lnTo>
                    <a:pt x="188" y="8"/>
                  </a:lnTo>
                  <a:lnTo>
                    <a:pt x="187" y="12"/>
                  </a:lnTo>
                  <a:lnTo>
                    <a:pt x="187" y="14"/>
                  </a:lnTo>
                  <a:lnTo>
                    <a:pt x="187" y="17"/>
                  </a:lnTo>
                  <a:lnTo>
                    <a:pt x="190" y="19"/>
                  </a:lnTo>
                  <a:lnTo>
                    <a:pt x="191" y="21"/>
                  </a:lnTo>
                  <a:lnTo>
                    <a:pt x="192" y="24"/>
                  </a:lnTo>
                  <a:lnTo>
                    <a:pt x="195" y="26"/>
                  </a:lnTo>
                  <a:lnTo>
                    <a:pt x="199" y="29"/>
                  </a:lnTo>
                  <a:lnTo>
                    <a:pt x="201" y="32"/>
                  </a:lnTo>
                  <a:lnTo>
                    <a:pt x="200" y="39"/>
                  </a:lnTo>
                  <a:lnTo>
                    <a:pt x="198" y="42"/>
                  </a:lnTo>
                  <a:lnTo>
                    <a:pt x="197" y="44"/>
                  </a:lnTo>
                  <a:lnTo>
                    <a:pt x="197" y="45"/>
                  </a:lnTo>
                  <a:lnTo>
                    <a:pt x="199" y="48"/>
                  </a:lnTo>
                  <a:lnTo>
                    <a:pt x="200" y="51"/>
                  </a:lnTo>
                  <a:lnTo>
                    <a:pt x="192" y="55"/>
                  </a:lnTo>
                  <a:lnTo>
                    <a:pt x="187" y="55"/>
                  </a:lnTo>
                  <a:lnTo>
                    <a:pt x="182" y="56"/>
                  </a:lnTo>
                  <a:lnTo>
                    <a:pt x="179" y="60"/>
                  </a:lnTo>
                  <a:lnTo>
                    <a:pt x="176" y="66"/>
                  </a:lnTo>
                  <a:lnTo>
                    <a:pt x="173" y="67"/>
                  </a:lnTo>
                  <a:lnTo>
                    <a:pt x="169" y="74"/>
                  </a:lnTo>
                  <a:lnTo>
                    <a:pt x="164" y="85"/>
                  </a:lnTo>
                  <a:lnTo>
                    <a:pt x="161" y="102"/>
                  </a:lnTo>
                  <a:lnTo>
                    <a:pt x="162" y="107"/>
                  </a:lnTo>
                  <a:lnTo>
                    <a:pt x="167" y="110"/>
                  </a:lnTo>
                  <a:lnTo>
                    <a:pt x="171" y="109"/>
                  </a:lnTo>
                  <a:lnTo>
                    <a:pt x="174" y="108"/>
                  </a:lnTo>
                  <a:lnTo>
                    <a:pt x="177" y="110"/>
                  </a:lnTo>
                  <a:lnTo>
                    <a:pt x="178" y="112"/>
                  </a:lnTo>
                  <a:lnTo>
                    <a:pt x="180" y="112"/>
                  </a:lnTo>
                  <a:lnTo>
                    <a:pt x="189" y="109"/>
                  </a:lnTo>
                  <a:lnTo>
                    <a:pt x="191" y="110"/>
                  </a:lnTo>
                  <a:lnTo>
                    <a:pt x="193" y="117"/>
                  </a:lnTo>
                  <a:lnTo>
                    <a:pt x="190" y="131"/>
                  </a:lnTo>
                  <a:lnTo>
                    <a:pt x="185" y="134"/>
                  </a:lnTo>
                  <a:lnTo>
                    <a:pt x="185" y="137"/>
                  </a:lnTo>
                  <a:lnTo>
                    <a:pt x="187" y="143"/>
                  </a:lnTo>
                  <a:lnTo>
                    <a:pt x="187" y="146"/>
                  </a:lnTo>
                  <a:lnTo>
                    <a:pt x="185" y="151"/>
                  </a:lnTo>
                  <a:lnTo>
                    <a:pt x="182" y="153"/>
                  </a:lnTo>
                  <a:lnTo>
                    <a:pt x="183" y="160"/>
                  </a:lnTo>
                  <a:lnTo>
                    <a:pt x="187" y="164"/>
                  </a:lnTo>
                  <a:lnTo>
                    <a:pt x="187" y="169"/>
                  </a:lnTo>
                  <a:lnTo>
                    <a:pt x="186" y="178"/>
                  </a:lnTo>
                  <a:lnTo>
                    <a:pt x="188" y="182"/>
                  </a:lnTo>
                  <a:lnTo>
                    <a:pt x="193" y="185"/>
                  </a:lnTo>
                  <a:lnTo>
                    <a:pt x="194" y="187"/>
                  </a:lnTo>
                  <a:lnTo>
                    <a:pt x="196" y="191"/>
                  </a:lnTo>
                  <a:lnTo>
                    <a:pt x="197" y="197"/>
                  </a:lnTo>
                  <a:lnTo>
                    <a:pt x="195" y="202"/>
                  </a:lnTo>
                  <a:lnTo>
                    <a:pt x="189" y="203"/>
                  </a:lnTo>
                  <a:lnTo>
                    <a:pt x="187" y="208"/>
                  </a:lnTo>
                  <a:lnTo>
                    <a:pt x="178" y="205"/>
                  </a:lnTo>
                  <a:lnTo>
                    <a:pt x="178" y="202"/>
                  </a:lnTo>
                  <a:lnTo>
                    <a:pt x="174" y="200"/>
                  </a:lnTo>
                  <a:lnTo>
                    <a:pt x="166" y="202"/>
                  </a:lnTo>
                  <a:lnTo>
                    <a:pt x="161" y="196"/>
                  </a:lnTo>
                  <a:lnTo>
                    <a:pt x="160" y="192"/>
                  </a:lnTo>
                  <a:lnTo>
                    <a:pt x="152" y="191"/>
                  </a:lnTo>
                  <a:lnTo>
                    <a:pt x="148" y="196"/>
                  </a:lnTo>
                  <a:lnTo>
                    <a:pt x="146" y="199"/>
                  </a:lnTo>
                  <a:lnTo>
                    <a:pt x="142" y="199"/>
                  </a:lnTo>
                  <a:lnTo>
                    <a:pt x="137" y="198"/>
                  </a:lnTo>
                  <a:lnTo>
                    <a:pt x="128" y="215"/>
                  </a:lnTo>
                  <a:lnTo>
                    <a:pt x="129" y="223"/>
                  </a:lnTo>
                  <a:lnTo>
                    <a:pt x="127" y="227"/>
                  </a:lnTo>
                  <a:lnTo>
                    <a:pt x="125" y="231"/>
                  </a:lnTo>
                  <a:lnTo>
                    <a:pt x="126" y="233"/>
                  </a:lnTo>
                  <a:lnTo>
                    <a:pt x="130" y="236"/>
                  </a:lnTo>
                  <a:lnTo>
                    <a:pt x="133" y="238"/>
                  </a:lnTo>
                  <a:lnTo>
                    <a:pt x="135" y="243"/>
                  </a:lnTo>
                  <a:lnTo>
                    <a:pt x="131" y="248"/>
                  </a:lnTo>
                  <a:lnTo>
                    <a:pt x="129" y="254"/>
                  </a:lnTo>
                  <a:lnTo>
                    <a:pt x="127" y="260"/>
                  </a:lnTo>
                  <a:lnTo>
                    <a:pt x="126" y="267"/>
                  </a:lnTo>
                  <a:lnTo>
                    <a:pt x="126" y="271"/>
                  </a:lnTo>
                  <a:lnTo>
                    <a:pt x="124" y="274"/>
                  </a:lnTo>
                  <a:lnTo>
                    <a:pt x="122" y="277"/>
                  </a:lnTo>
                  <a:lnTo>
                    <a:pt x="122" y="281"/>
                  </a:lnTo>
                  <a:lnTo>
                    <a:pt x="122" y="286"/>
                  </a:lnTo>
                  <a:lnTo>
                    <a:pt x="119" y="291"/>
                  </a:lnTo>
                  <a:lnTo>
                    <a:pt x="115" y="294"/>
                  </a:lnTo>
                  <a:lnTo>
                    <a:pt x="109" y="297"/>
                  </a:lnTo>
                  <a:lnTo>
                    <a:pt x="100" y="301"/>
                  </a:lnTo>
                  <a:lnTo>
                    <a:pt x="97" y="305"/>
                  </a:lnTo>
                  <a:lnTo>
                    <a:pt x="91" y="310"/>
                  </a:lnTo>
                  <a:lnTo>
                    <a:pt x="88" y="313"/>
                  </a:lnTo>
                  <a:lnTo>
                    <a:pt x="79" y="314"/>
                  </a:lnTo>
                  <a:lnTo>
                    <a:pt x="77" y="313"/>
                  </a:lnTo>
                  <a:lnTo>
                    <a:pt x="73" y="313"/>
                  </a:lnTo>
                  <a:lnTo>
                    <a:pt x="71" y="314"/>
                  </a:lnTo>
                  <a:close/>
                </a:path>
              </a:pathLst>
            </a:custGeom>
            <a:solidFill>
              <a:srgbClr val="1A2232"/>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43" name="Freeform 27">
              <a:extLst>
                <a:ext uri="{FF2B5EF4-FFF2-40B4-BE49-F238E27FC236}">
                  <a16:creationId xmlns:a16="http://schemas.microsoft.com/office/drawing/2014/main" id="{00000000-0008-0000-0900-0000277E1200}"/>
                </a:ext>
              </a:extLst>
            </xdr:cNvPr>
            <xdr:cNvSpPr>
              <a:spLocks noChangeAspect="1"/>
            </xdr:cNvSpPr>
          </xdr:nvSpPr>
          <xdr:spPr bwMode="auto">
            <a:xfrm rot="238154">
              <a:off x="1391" y="2760"/>
              <a:ext cx="243" cy="275"/>
            </a:xfrm>
            <a:custGeom>
              <a:avLst/>
              <a:gdLst>
                <a:gd name="T0" fmla="*/ 344 w 197"/>
                <a:gd name="T1" fmla="*/ 1812 h 223"/>
                <a:gd name="T2" fmla="*/ 274 w 197"/>
                <a:gd name="T3" fmla="*/ 1698 h 223"/>
                <a:gd name="T4" fmla="*/ 146 w 197"/>
                <a:gd name="T5" fmla="*/ 1735 h 223"/>
                <a:gd name="T6" fmla="*/ 99 w 197"/>
                <a:gd name="T7" fmla="*/ 1630 h 223"/>
                <a:gd name="T8" fmla="*/ 150 w 197"/>
                <a:gd name="T9" fmla="*/ 1476 h 223"/>
                <a:gd name="T10" fmla="*/ 110 w 197"/>
                <a:gd name="T11" fmla="*/ 1326 h 223"/>
                <a:gd name="T12" fmla="*/ 65 w 197"/>
                <a:gd name="T13" fmla="*/ 1247 h 223"/>
                <a:gd name="T14" fmla="*/ 39 w 197"/>
                <a:gd name="T15" fmla="*/ 1149 h 223"/>
                <a:gd name="T16" fmla="*/ 2 w 197"/>
                <a:gd name="T17" fmla="*/ 983 h 223"/>
                <a:gd name="T18" fmla="*/ 122 w 197"/>
                <a:gd name="T19" fmla="*/ 894 h 223"/>
                <a:gd name="T20" fmla="*/ 291 w 197"/>
                <a:gd name="T21" fmla="*/ 904 h 223"/>
                <a:gd name="T22" fmla="*/ 391 w 197"/>
                <a:gd name="T23" fmla="*/ 909 h 223"/>
                <a:gd name="T24" fmla="*/ 514 w 197"/>
                <a:gd name="T25" fmla="*/ 843 h 223"/>
                <a:gd name="T26" fmla="*/ 503 w 197"/>
                <a:gd name="T27" fmla="*/ 713 h 223"/>
                <a:gd name="T28" fmla="*/ 443 w 197"/>
                <a:gd name="T29" fmla="*/ 684 h 223"/>
                <a:gd name="T30" fmla="*/ 503 w 197"/>
                <a:gd name="T31" fmla="*/ 523 h 223"/>
                <a:gd name="T32" fmla="*/ 514 w 197"/>
                <a:gd name="T33" fmla="*/ 477 h 223"/>
                <a:gd name="T34" fmla="*/ 634 w 197"/>
                <a:gd name="T35" fmla="*/ 319 h 223"/>
                <a:gd name="T36" fmla="*/ 660 w 197"/>
                <a:gd name="T37" fmla="*/ 207 h 223"/>
                <a:gd name="T38" fmla="*/ 765 w 197"/>
                <a:gd name="T39" fmla="*/ 137 h 223"/>
                <a:gd name="T40" fmla="*/ 871 w 197"/>
                <a:gd name="T41" fmla="*/ 247 h 223"/>
                <a:gd name="T42" fmla="*/ 944 w 197"/>
                <a:gd name="T43" fmla="*/ 168 h 223"/>
                <a:gd name="T44" fmla="*/ 1039 w 197"/>
                <a:gd name="T45" fmla="*/ 48 h 223"/>
                <a:gd name="T46" fmla="*/ 1158 w 197"/>
                <a:gd name="T47" fmla="*/ 26 h 223"/>
                <a:gd name="T48" fmla="*/ 1247 w 197"/>
                <a:gd name="T49" fmla="*/ 59 h 223"/>
                <a:gd name="T50" fmla="*/ 1359 w 197"/>
                <a:gd name="T51" fmla="*/ 78 h 223"/>
                <a:gd name="T52" fmla="*/ 1451 w 197"/>
                <a:gd name="T53" fmla="*/ 96 h 223"/>
                <a:gd name="T54" fmla="*/ 1558 w 197"/>
                <a:gd name="T55" fmla="*/ 208 h 223"/>
                <a:gd name="T56" fmla="*/ 1581 w 197"/>
                <a:gd name="T57" fmla="*/ 317 h 223"/>
                <a:gd name="T58" fmla="*/ 1549 w 197"/>
                <a:gd name="T59" fmla="*/ 453 h 223"/>
                <a:gd name="T60" fmla="*/ 1500 w 197"/>
                <a:gd name="T61" fmla="*/ 572 h 223"/>
                <a:gd name="T62" fmla="*/ 1549 w 197"/>
                <a:gd name="T63" fmla="*/ 659 h 223"/>
                <a:gd name="T64" fmla="*/ 1478 w 197"/>
                <a:gd name="T65" fmla="*/ 772 h 223"/>
                <a:gd name="T66" fmla="*/ 1420 w 197"/>
                <a:gd name="T67" fmla="*/ 850 h 223"/>
                <a:gd name="T68" fmla="*/ 1325 w 197"/>
                <a:gd name="T69" fmla="*/ 904 h 223"/>
                <a:gd name="T70" fmla="*/ 1328 w 197"/>
                <a:gd name="T71" fmla="*/ 983 h 223"/>
                <a:gd name="T72" fmla="*/ 1446 w 197"/>
                <a:gd name="T73" fmla="*/ 1115 h 223"/>
                <a:gd name="T74" fmla="*/ 1500 w 197"/>
                <a:gd name="T75" fmla="*/ 1263 h 223"/>
                <a:gd name="T76" fmla="*/ 1533 w 197"/>
                <a:gd name="T77" fmla="*/ 1391 h 223"/>
                <a:gd name="T78" fmla="*/ 1602 w 197"/>
                <a:gd name="T79" fmla="*/ 1448 h 223"/>
                <a:gd name="T80" fmla="*/ 1558 w 197"/>
                <a:gd name="T81" fmla="*/ 1544 h 223"/>
                <a:gd name="T82" fmla="*/ 1507 w 197"/>
                <a:gd name="T83" fmla="*/ 1673 h 223"/>
                <a:gd name="T84" fmla="*/ 1436 w 197"/>
                <a:gd name="T85" fmla="*/ 1704 h 223"/>
                <a:gd name="T86" fmla="*/ 1356 w 197"/>
                <a:gd name="T87" fmla="*/ 1786 h 223"/>
                <a:gd name="T88" fmla="*/ 1282 w 197"/>
                <a:gd name="T89" fmla="*/ 1715 h 223"/>
                <a:gd name="T90" fmla="*/ 1194 w 197"/>
                <a:gd name="T91" fmla="*/ 1675 h 223"/>
                <a:gd name="T92" fmla="*/ 1099 w 197"/>
                <a:gd name="T93" fmla="*/ 1676 h 223"/>
                <a:gd name="T94" fmla="*/ 982 w 197"/>
                <a:gd name="T95" fmla="*/ 1613 h 223"/>
                <a:gd name="T96" fmla="*/ 905 w 197"/>
                <a:gd name="T97" fmla="*/ 1495 h 223"/>
                <a:gd name="T98" fmla="*/ 782 w 197"/>
                <a:gd name="T99" fmla="*/ 1476 h 223"/>
                <a:gd name="T100" fmla="*/ 673 w 197"/>
                <a:gd name="T101" fmla="*/ 1507 h 223"/>
                <a:gd name="T102" fmla="*/ 595 w 197"/>
                <a:gd name="T103" fmla="*/ 1538 h 223"/>
                <a:gd name="T104" fmla="*/ 500 w 197"/>
                <a:gd name="T105" fmla="*/ 1615 h 223"/>
                <a:gd name="T106" fmla="*/ 428 w 197"/>
                <a:gd name="T107" fmla="*/ 1752 h 223"/>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0" t="0" r="r" b="b"/>
              <a:pathLst>
                <a:path w="197" h="223">
                  <a:moveTo>
                    <a:pt x="50" y="219"/>
                  </a:moveTo>
                  <a:lnTo>
                    <a:pt x="49" y="220"/>
                  </a:lnTo>
                  <a:lnTo>
                    <a:pt x="44" y="223"/>
                  </a:lnTo>
                  <a:lnTo>
                    <a:pt x="42" y="223"/>
                  </a:lnTo>
                  <a:lnTo>
                    <a:pt x="40" y="222"/>
                  </a:lnTo>
                  <a:lnTo>
                    <a:pt x="38" y="218"/>
                  </a:lnTo>
                  <a:lnTo>
                    <a:pt x="36" y="214"/>
                  </a:lnTo>
                  <a:lnTo>
                    <a:pt x="33" y="209"/>
                  </a:lnTo>
                  <a:lnTo>
                    <a:pt x="32" y="209"/>
                  </a:lnTo>
                  <a:lnTo>
                    <a:pt x="27" y="212"/>
                  </a:lnTo>
                  <a:lnTo>
                    <a:pt x="23" y="212"/>
                  </a:lnTo>
                  <a:lnTo>
                    <a:pt x="18" y="213"/>
                  </a:lnTo>
                  <a:lnTo>
                    <a:pt x="14" y="212"/>
                  </a:lnTo>
                  <a:lnTo>
                    <a:pt x="13" y="212"/>
                  </a:lnTo>
                  <a:lnTo>
                    <a:pt x="11" y="208"/>
                  </a:lnTo>
                  <a:lnTo>
                    <a:pt x="12" y="200"/>
                  </a:lnTo>
                  <a:lnTo>
                    <a:pt x="15" y="194"/>
                  </a:lnTo>
                  <a:lnTo>
                    <a:pt x="18" y="189"/>
                  </a:lnTo>
                  <a:lnTo>
                    <a:pt x="19" y="185"/>
                  </a:lnTo>
                  <a:lnTo>
                    <a:pt x="19" y="182"/>
                  </a:lnTo>
                  <a:lnTo>
                    <a:pt x="18" y="177"/>
                  </a:lnTo>
                  <a:lnTo>
                    <a:pt x="17" y="171"/>
                  </a:lnTo>
                  <a:lnTo>
                    <a:pt x="15" y="167"/>
                  </a:lnTo>
                  <a:lnTo>
                    <a:pt x="13" y="163"/>
                  </a:lnTo>
                  <a:lnTo>
                    <a:pt x="13" y="161"/>
                  </a:lnTo>
                  <a:lnTo>
                    <a:pt x="15" y="157"/>
                  </a:lnTo>
                  <a:lnTo>
                    <a:pt x="10" y="155"/>
                  </a:lnTo>
                  <a:lnTo>
                    <a:pt x="8" y="153"/>
                  </a:lnTo>
                  <a:lnTo>
                    <a:pt x="7" y="147"/>
                  </a:lnTo>
                  <a:lnTo>
                    <a:pt x="8" y="143"/>
                  </a:lnTo>
                  <a:lnTo>
                    <a:pt x="7" y="141"/>
                  </a:lnTo>
                  <a:lnTo>
                    <a:pt x="5" y="141"/>
                  </a:lnTo>
                  <a:lnTo>
                    <a:pt x="3" y="140"/>
                  </a:lnTo>
                  <a:lnTo>
                    <a:pt x="2" y="138"/>
                  </a:lnTo>
                  <a:lnTo>
                    <a:pt x="0" y="135"/>
                  </a:lnTo>
                  <a:lnTo>
                    <a:pt x="2" y="121"/>
                  </a:lnTo>
                  <a:lnTo>
                    <a:pt x="3" y="117"/>
                  </a:lnTo>
                  <a:lnTo>
                    <a:pt x="5" y="113"/>
                  </a:lnTo>
                  <a:lnTo>
                    <a:pt x="9" y="109"/>
                  </a:lnTo>
                  <a:lnTo>
                    <a:pt x="15" y="110"/>
                  </a:lnTo>
                  <a:lnTo>
                    <a:pt x="20" y="113"/>
                  </a:lnTo>
                  <a:lnTo>
                    <a:pt x="26" y="115"/>
                  </a:lnTo>
                  <a:lnTo>
                    <a:pt x="29" y="113"/>
                  </a:lnTo>
                  <a:lnTo>
                    <a:pt x="36" y="111"/>
                  </a:lnTo>
                  <a:lnTo>
                    <a:pt x="42" y="108"/>
                  </a:lnTo>
                  <a:lnTo>
                    <a:pt x="45" y="109"/>
                  </a:lnTo>
                  <a:lnTo>
                    <a:pt x="46" y="112"/>
                  </a:lnTo>
                  <a:lnTo>
                    <a:pt x="48" y="112"/>
                  </a:lnTo>
                  <a:lnTo>
                    <a:pt x="51" y="111"/>
                  </a:lnTo>
                  <a:lnTo>
                    <a:pt x="58" y="110"/>
                  </a:lnTo>
                  <a:lnTo>
                    <a:pt x="61" y="109"/>
                  </a:lnTo>
                  <a:lnTo>
                    <a:pt x="63" y="104"/>
                  </a:lnTo>
                  <a:lnTo>
                    <a:pt x="65" y="102"/>
                  </a:lnTo>
                  <a:lnTo>
                    <a:pt x="65" y="96"/>
                  </a:lnTo>
                  <a:lnTo>
                    <a:pt x="64" y="90"/>
                  </a:lnTo>
                  <a:lnTo>
                    <a:pt x="62" y="88"/>
                  </a:lnTo>
                  <a:lnTo>
                    <a:pt x="59" y="87"/>
                  </a:lnTo>
                  <a:lnTo>
                    <a:pt x="58" y="86"/>
                  </a:lnTo>
                  <a:lnTo>
                    <a:pt x="55" y="85"/>
                  </a:lnTo>
                  <a:lnTo>
                    <a:pt x="54" y="84"/>
                  </a:lnTo>
                  <a:lnTo>
                    <a:pt x="54" y="69"/>
                  </a:lnTo>
                  <a:lnTo>
                    <a:pt x="55" y="67"/>
                  </a:lnTo>
                  <a:lnTo>
                    <a:pt x="57" y="66"/>
                  </a:lnTo>
                  <a:lnTo>
                    <a:pt x="62" y="64"/>
                  </a:lnTo>
                  <a:lnTo>
                    <a:pt x="62" y="63"/>
                  </a:lnTo>
                  <a:lnTo>
                    <a:pt x="62" y="60"/>
                  </a:lnTo>
                  <a:lnTo>
                    <a:pt x="60" y="59"/>
                  </a:lnTo>
                  <a:lnTo>
                    <a:pt x="63" y="58"/>
                  </a:lnTo>
                  <a:lnTo>
                    <a:pt x="67" y="55"/>
                  </a:lnTo>
                  <a:lnTo>
                    <a:pt x="72" y="52"/>
                  </a:lnTo>
                  <a:lnTo>
                    <a:pt x="76" y="46"/>
                  </a:lnTo>
                  <a:lnTo>
                    <a:pt x="78" y="40"/>
                  </a:lnTo>
                  <a:lnTo>
                    <a:pt x="78" y="37"/>
                  </a:lnTo>
                  <a:lnTo>
                    <a:pt x="76" y="34"/>
                  </a:lnTo>
                  <a:lnTo>
                    <a:pt x="79" y="27"/>
                  </a:lnTo>
                  <a:lnTo>
                    <a:pt x="81" y="25"/>
                  </a:lnTo>
                  <a:lnTo>
                    <a:pt x="84" y="24"/>
                  </a:lnTo>
                  <a:lnTo>
                    <a:pt x="87" y="22"/>
                  </a:lnTo>
                  <a:lnTo>
                    <a:pt x="92" y="18"/>
                  </a:lnTo>
                  <a:lnTo>
                    <a:pt x="94" y="17"/>
                  </a:lnTo>
                  <a:lnTo>
                    <a:pt x="97" y="18"/>
                  </a:lnTo>
                  <a:lnTo>
                    <a:pt x="103" y="23"/>
                  </a:lnTo>
                  <a:lnTo>
                    <a:pt x="104" y="28"/>
                  </a:lnTo>
                  <a:lnTo>
                    <a:pt x="106" y="30"/>
                  </a:lnTo>
                  <a:lnTo>
                    <a:pt x="107" y="29"/>
                  </a:lnTo>
                  <a:lnTo>
                    <a:pt x="110" y="28"/>
                  </a:lnTo>
                  <a:lnTo>
                    <a:pt x="114" y="25"/>
                  </a:lnTo>
                  <a:lnTo>
                    <a:pt x="116" y="20"/>
                  </a:lnTo>
                  <a:lnTo>
                    <a:pt x="118" y="15"/>
                  </a:lnTo>
                  <a:lnTo>
                    <a:pt x="120" y="11"/>
                  </a:lnTo>
                  <a:lnTo>
                    <a:pt x="122" y="8"/>
                  </a:lnTo>
                  <a:lnTo>
                    <a:pt x="127" y="6"/>
                  </a:lnTo>
                  <a:lnTo>
                    <a:pt x="129" y="2"/>
                  </a:lnTo>
                  <a:lnTo>
                    <a:pt x="133" y="0"/>
                  </a:lnTo>
                  <a:lnTo>
                    <a:pt x="137" y="1"/>
                  </a:lnTo>
                  <a:lnTo>
                    <a:pt x="142" y="3"/>
                  </a:lnTo>
                  <a:lnTo>
                    <a:pt x="145" y="1"/>
                  </a:lnTo>
                  <a:lnTo>
                    <a:pt x="149" y="2"/>
                  </a:lnTo>
                  <a:lnTo>
                    <a:pt x="150" y="6"/>
                  </a:lnTo>
                  <a:lnTo>
                    <a:pt x="153" y="7"/>
                  </a:lnTo>
                  <a:lnTo>
                    <a:pt x="158" y="5"/>
                  </a:lnTo>
                  <a:lnTo>
                    <a:pt x="162" y="5"/>
                  </a:lnTo>
                  <a:lnTo>
                    <a:pt x="164" y="6"/>
                  </a:lnTo>
                  <a:lnTo>
                    <a:pt x="167" y="10"/>
                  </a:lnTo>
                  <a:lnTo>
                    <a:pt x="169" y="11"/>
                  </a:lnTo>
                  <a:lnTo>
                    <a:pt x="173" y="10"/>
                  </a:lnTo>
                  <a:lnTo>
                    <a:pt x="175" y="11"/>
                  </a:lnTo>
                  <a:lnTo>
                    <a:pt x="178" y="12"/>
                  </a:lnTo>
                  <a:lnTo>
                    <a:pt x="181" y="17"/>
                  </a:lnTo>
                  <a:lnTo>
                    <a:pt x="181" y="18"/>
                  </a:lnTo>
                  <a:lnTo>
                    <a:pt x="183" y="19"/>
                  </a:lnTo>
                  <a:lnTo>
                    <a:pt x="191" y="26"/>
                  </a:lnTo>
                  <a:lnTo>
                    <a:pt x="194" y="30"/>
                  </a:lnTo>
                  <a:lnTo>
                    <a:pt x="196" y="33"/>
                  </a:lnTo>
                  <a:lnTo>
                    <a:pt x="196" y="36"/>
                  </a:lnTo>
                  <a:lnTo>
                    <a:pt x="194" y="39"/>
                  </a:lnTo>
                  <a:lnTo>
                    <a:pt x="191" y="44"/>
                  </a:lnTo>
                  <a:lnTo>
                    <a:pt x="188" y="49"/>
                  </a:lnTo>
                  <a:lnTo>
                    <a:pt x="188" y="51"/>
                  </a:lnTo>
                  <a:lnTo>
                    <a:pt x="190" y="56"/>
                  </a:lnTo>
                  <a:lnTo>
                    <a:pt x="190" y="60"/>
                  </a:lnTo>
                  <a:lnTo>
                    <a:pt x="186" y="64"/>
                  </a:lnTo>
                  <a:lnTo>
                    <a:pt x="184" y="68"/>
                  </a:lnTo>
                  <a:lnTo>
                    <a:pt x="184" y="70"/>
                  </a:lnTo>
                  <a:lnTo>
                    <a:pt x="186" y="72"/>
                  </a:lnTo>
                  <a:lnTo>
                    <a:pt x="189" y="75"/>
                  </a:lnTo>
                  <a:lnTo>
                    <a:pt x="191" y="77"/>
                  </a:lnTo>
                  <a:lnTo>
                    <a:pt x="190" y="81"/>
                  </a:lnTo>
                  <a:lnTo>
                    <a:pt x="187" y="85"/>
                  </a:lnTo>
                  <a:lnTo>
                    <a:pt x="185" y="88"/>
                  </a:lnTo>
                  <a:lnTo>
                    <a:pt x="184" y="92"/>
                  </a:lnTo>
                  <a:lnTo>
                    <a:pt x="182" y="95"/>
                  </a:lnTo>
                  <a:lnTo>
                    <a:pt x="179" y="98"/>
                  </a:lnTo>
                  <a:lnTo>
                    <a:pt x="177" y="100"/>
                  </a:lnTo>
                  <a:lnTo>
                    <a:pt x="175" y="103"/>
                  </a:lnTo>
                  <a:lnTo>
                    <a:pt x="174" y="105"/>
                  </a:lnTo>
                  <a:lnTo>
                    <a:pt x="170" y="105"/>
                  </a:lnTo>
                  <a:lnTo>
                    <a:pt x="166" y="106"/>
                  </a:lnTo>
                  <a:lnTo>
                    <a:pt x="164" y="107"/>
                  </a:lnTo>
                  <a:lnTo>
                    <a:pt x="162" y="111"/>
                  </a:lnTo>
                  <a:lnTo>
                    <a:pt x="159" y="115"/>
                  </a:lnTo>
                  <a:lnTo>
                    <a:pt x="158" y="118"/>
                  </a:lnTo>
                  <a:lnTo>
                    <a:pt x="160" y="120"/>
                  </a:lnTo>
                  <a:lnTo>
                    <a:pt x="163" y="121"/>
                  </a:lnTo>
                  <a:lnTo>
                    <a:pt x="166" y="125"/>
                  </a:lnTo>
                  <a:lnTo>
                    <a:pt x="172" y="131"/>
                  </a:lnTo>
                  <a:lnTo>
                    <a:pt x="176" y="133"/>
                  </a:lnTo>
                  <a:lnTo>
                    <a:pt x="177" y="137"/>
                  </a:lnTo>
                  <a:lnTo>
                    <a:pt x="183" y="144"/>
                  </a:lnTo>
                  <a:lnTo>
                    <a:pt x="184" y="147"/>
                  </a:lnTo>
                  <a:lnTo>
                    <a:pt x="185" y="151"/>
                  </a:lnTo>
                  <a:lnTo>
                    <a:pt x="184" y="155"/>
                  </a:lnTo>
                  <a:lnTo>
                    <a:pt x="182" y="157"/>
                  </a:lnTo>
                  <a:lnTo>
                    <a:pt x="181" y="160"/>
                  </a:lnTo>
                  <a:lnTo>
                    <a:pt x="186" y="168"/>
                  </a:lnTo>
                  <a:lnTo>
                    <a:pt x="188" y="171"/>
                  </a:lnTo>
                  <a:lnTo>
                    <a:pt x="192" y="172"/>
                  </a:lnTo>
                  <a:lnTo>
                    <a:pt x="195" y="173"/>
                  </a:lnTo>
                  <a:lnTo>
                    <a:pt x="197" y="174"/>
                  </a:lnTo>
                  <a:lnTo>
                    <a:pt x="196" y="178"/>
                  </a:lnTo>
                  <a:lnTo>
                    <a:pt x="194" y="182"/>
                  </a:lnTo>
                  <a:lnTo>
                    <a:pt x="192" y="184"/>
                  </a:lnTo>
                  <a:lnTo>
                    <a:pt x="191" y="188"/>
                  </a:lnTo>
                  <a:lnTo>
                    <a:pt x="191" y="190"/>
                  </a:lnTo>
                  <a:lnTo>
                    <a:pt x="190" y="193"/>
                  </a:lnTo>
                  <a:lnTo>
                    <a:pt x="188" y="197"/>
                  </a:lnTo>
                  <a:lnTo>
                    <a:pt x="187" y="201"/>
                  </a:lnTo>
                  <a:lnTo>
                    <a:pt x="185" y="205"/>
                  </a:lnTo>
                  <a:lnTo>
                    <a:pt x="184" y="207"/>
                  </a:lnTo>
                  <a:lnTo>
                    <a:pt x="180" y="209"/>
                  </a:lnTo>
                  <a:lnTo>
                    <a:pt x="178" y="210"/>
                  </a:lnTo>
                  <a:lnTo>
                    <a:pt x="176" y="210"/>
                  </a:lnTo>
                  <a:lnTo>
                    <a:pt x="173" y="214"/>
                  </a:lnTo>
                  <a:lnTo>
                    <a:pt x="170" y="217"/>
                  </a:lnTo>
                  <a:lnTo>
                    <a:pt x="168" y="220"/>
                  </a:lnTo>
                  <a:lnTo>
                    <a:pt x="165" y="220"/>
                  </a:lnTo>
                  <a:lnTo>
                    <a:pt x="161" y="218"/>
                  </a:lnTo>
                  <a:lnTo>
                    <a:pt x="158" y="216"/>
                  </a:lnTo>
                  <a:lnTo>
                    <a:pt x="158" y="214"/>
                  </a:lnTo>
                  <a:lnTo>
                    <a:pt x="157" y="211"/>
                  </a:lnTo>
                  <a:lnTo>
                    <a:pt x="156" y="208"/>
                  </a:lnTo>
                  <a:lnTo>
                    <a:pt x="154" y="207"/>
                  </a:lnTo>
                  <a:lnTo>
                    <a:pt x="151" y="206"/>
                  </a:lnTo>
                  <a:lnTo>
                    <a:pt x="147" y="206"/>
                  </a:lnTo>
                  <a:lnTo>
                    <a:pt x="144" y="207"/>
                  </a:lnTo>
                  <a:lnTo>
                    <a:pt x="141" y="210"/>
                  </a:lnTo>
                  <a:lnTo>
                    <a:pt x="137" y="208"/>
                  </a:lnTo>
                  <a:lnTo>
                    <a:pt x="134" y="207"/>
                  </a:lnTo>
                  <a:lnTo>
                    <a:pt x="129" y="206"/>
                  </a:lnTo>
                  <a:lnTo>
                    <a:pt x="124" y="205"/>
                  </a:lnTo>
                  <a:lnTo>
                    <a:pt x="121" y="202"/>
                  </a:lnTo>
                  <a:lnTo>
                    <a:pt x="120" y="198"/>
                  </a:lnTo>
                  <a:lnTo>
                    <a:pt x="117" y="194"/>
                  </a:lnTo>
                  <a:lnTo>
                    <a:pt x="114" y="191"/>
                  </a:lnTo>
                  <a:lnTo>
                    <a:pt x="112" y="186"/>
                  </a:lnTo>
                  <a:lnTo>
                    <a:pt x="111" y="184"/>
                  </a:lnTo>
                  <a:lnTo>
                    <a:pt x="107" y="184"/>
                  </a:lnTo>
                  <a:lnTo>
                    <a:pt x="104" y="184"/>
                  </a:lnTo>
                  <a:lnTo>
                    <a:pt x="99" y="182"/>
                  </a:lnTo>
                  <a:lnTo>
                    <a:pt x="96" y="182"/>
                  </a:lnTo>
                  <a:lnTo>
                    <a:pt x="92" y="183"/>
                  </a:lnTo>
                  <a:lnTo>
                    <a:pt x="89" y="184"/>
                  </a:lnTo>
                  <a:lnTo>
                    <a:pt x="86" y="185"/>
                  </a:lnTo>
                  <a:lnTo>
                    <a:pt x="83" y="186"/>
                  </a:lnTo>
                  <a:lnTo>
                    <a:pt x="81" y="189"/>
                  </a:lnTo>
                  <a:lnTo>
                    <a:pt x="79" y="191"/>
                  </a:lnTo>
                  <a:lnTo>
                    <a:pt x="76" y="191"/>
                  </a:lnTo>
                  <a:lnTo>
                    <a:pt x="73" y="189"/>
                  </a:lnTo>
                  <a:lnTo>
                    <a:pt x="69" y="189"/>
                  </a:lnTo>
                  <a:lnTo>
                    <a:pt x="68" y="192"/>
                  </a:lnTo>
                  <a:lnTo>
                    <a:pt x="64" y="195"/>
                  </a:lnTo>
                  <a:lnTo>
                    <a:pt x="61" y="199"/>
                  </a:lnTo>
                  <a:lnTo>
                    <a:pt x="58" y="205"/>
                  </a:lnTo>
                  <a:lnTo>
                    <a:pt x="55" y="210"/>
                  </a:lnTo>
                  <a:lnTo>
                    <a:pt x="53" y="212"/>
                  </a:lnTo>
                  <a:lnTo>
                    <a:pt x="53" y="216"/>
                  </a:lnTo>
                  <a:lnTo>
                    <a:pt x="50" y="219"/>
                  </a:lnTo>
                  <a:close/>
                </a:path>
              </a:pathLst>
            </a:custGeom>
            <a:solidFill>
              <a:srgbClr val="BDC3C4"/>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44" name="Freeform 28" descr="右下がり対角線 (太)">
              <a:extLst>
                <a:ext uri="{FF2B5EF4-FFF2-40B4-BE49-F238E27FC236}">
                  <a16:creationId xmlns:a16="http://schemas.microsoft.com/office/drawing/2014/main" id="{00000000-0008-0000-0900-0000287E1200}"/>
                </a:ext>
              </a:extLst>
            </xdr:cNvPr>
            <xdr:cNvSpPr>
              <a:spLocks noChangeAspect="1"/>
            </xdr:cNvSpPr>
          </xdr:nvSpPr>
          <xdr:spPr bwMode="auto">
            <a:xfrm rot="238154">
              <a:off x="1228" y="3094"/>
              <a:ext cx="118" cy="182"/>
            </a:xfrm>
            <a:custGeom>
              <a:avLst/>
              <a:gdLst>
                <a:gd name="T0" fmla="*/ 298 w 95"/>
                <a:gd name="T1" fmla="*/ 1141 h 148"/>
                <a:gd name="T2" fmla="*/ 222 w 95"/>
                <a:gd name="T3" fmla="*/ 1165 h 148"/>
                <a:gd name="T4" fmla="*/ 168 w 95"/>
                <a:gd name="T5" fmla="*/ 1141 h 148"/>
                <a:gd name="T6" fmla="*/ 116 w 95"/>
                <a:gd name="T7" fmla="*/ 1172 h 148"/>
                <a:gd name="T8" fmla="*/ 62 w 95"/>
                <a:gd name="T9" fmla="*/ 1114 h 148"/>
                <a:gd name="T10" fmla="*/ 71 w 95"/>
                <a:gd name="T11" fmla="*/ 1067 h 148"/>
                <a:gd name="T12" fmla="*/ 71 w 95"/>
                <a:gd name="T13" fmla="*/ 1006 h 148"/>
                <a:gd name="T14" fmla="*/ 50 w 95"/>
                <a:gd name="T15" fmla="*/ 957 h 148"/>
                <a:gd name="T16" fmla="*/ 1 w 95"/>
                <a:gd name="T17" fmla="*/ 893 h 148"/>
                <a:gd name="T18" fmla="*/ 32 w 95"/>
                <a:gd name="T19" fmla="*/ 817 h 148"/>
                <a:gd name="T20" fmla="*/ 77 w 95"/>
                <a:gd name="T21" fmla="*/ 755 h 148"/>
                <a:gd name="T22" fmla="*/ 109 w 95"/>
                <a:gd name="T23" fmla="*/ 703 h 148"/>
                <a:gd name="T24" fmla="*/ 179 w 95"/>
                <a:gd name="T25" fmla="*/ 680 h 148"/>
                <a:gd name="T26" fmla="*/ 168 w 95"/>
                <a:gd name="T27" fmla="*/ 616 h 148"/>
                <a:gd name="T28" fmla="*/ 135 w 95"/>
                <a:gd name="T29" fmla="*/ 553 h 148"/>
                <a:gd name="T30" fmla="*/ 144 w 95"/>
                <a:gd name="T31" fmla="*/ 455 h 148"/>
                <a:gd name="T32" fmla="*/ 148 w 95"/>
                <a:gd name="T33" fmla="*/ 366 h 148"/>
                <a:gd name="T34" fmla="*/ 148 w 95"/>
                <a:gd name="T35" fmla="*/ 282 h 148"/>
                <a:gd name="T36" fmla="*/ 155 w 95"/>
                <a:gd name="T37" fmla="*/ 221 h 148"/>
                <a:gd name="T38" fmla="*/ 144 w 95"/>
                <a:gd name="T39" fmla="*/ 137 h 148"/>
                <a:gd name="T40" fmla="*/ 179 w 95"/>
                <a:gd name="T41" fmla="*/ 39 h 148"/>
                <a:gd name="T42" fmla="*/ 184 w 95"/>
                <a:gd name="T43" fmla="*/ 0 h 148"/>
                <a:gd name="T44" fmla="*/ 298 w 95"/>
                <a:gd name="T45" fmla="*/ 75 h 148"/>
                <a:gd name="T46" fmla="*/ 355 w 95"/>
                <a:gd name="T47" fmla="*/ 75 h 148"/>
                <a:gd name="T48" fmla="*/ 441 w 95"/>
                <a:gd name="T49" fmla="*/ 111 h 148"/>
                <a:gd name="T50" fmla="*/ 533 w 95"/>
                <a:gd name="T51" fmla="*/ 73 h 148"/>
                <a:gd name="T52" fmla="*/ 584 w 95"/>
                <a:gd name="T53" fmla="*/ 90 h 148"/>
                <a:gd name="T54" fmla="*/ 626 w 95"/>
                <a:gd name="T55" fmla="*/ 61 h 148"/>
                <a:gd name="T56" fmla="*/ 638 w 95"/>
                <a:gd name="T57" fmla="*/ 73 h 148"/>
                <a:gd name="T58" fmla="*/ 696 w 95"/>
                <a:gd name="T59" fmla="*/ 90 h 148"/>
                <a:gd name="T60" fmla="*/ 676 w 95"/>
                <a:gd name="T61" fmla="*/ 146 h 148"/>
                <a:gd name="T62" fmla="*/ 648 w 95"/>
                <a:gd name="T63" fmla="*/ 242 h 148"/>
                <a:gd name="T64" fmla="*/ 697 w 95"/>
                <a:gd name="T65" fmla="*/ 301 h 148"/>
                <a:gd name="T66" fmla="*/ 769 w 95"/>
                <a:gd name="T67" fmla="*/ 314 h 148"/>
                <a:gd name="T68" fmla="*/ 833 w 95"/>
                <a:gd name="T69" fmla="*/ 370 h 148"/>
                <a:gd name="T70" fmla="*/ 816 w 95"/>
                <a:gd name="T71" fmla="*/ 450 h 148"/>
                <a:gd name="T72" fmla="*/ 754 w 95"/>
                <a:gd name="T73" fmla="*/ 455 h 148"/>
                <a:gd name="T74" fmla="*/ 681 w 95"/>
                <a:gd name="T75" fmla="*/ 478 h 148"/>
                <a:gd name="T76" fmla="*/ 681 w 95"/>
                <a:gd name="T77" fmla="*/ 553 h 148"/>
                <a:gd name="T78" fmla="*/ 681 w 95"/>
                <a:gd name="T79" fmla="*/ 633 h 148"/>
                <a:gd name="T80" fmla="*/ 681 w 95"/>
                <a:gd name="T81" fmla="*/ 735 h 148"/>
                <a:gd name="T82" fmla="*/ 662 w 95"/>
                <a:gd name="T83" fmla="*/ 834 h 148"/>
                <a:gd name="T84" fmla="*/ 681 w 95"/>
                <a:gd name="T85" fmla="*/ 940 h 148"/>
                <a:gd name="T86" fmla="*/ 638 w 95"/>
                <a:gd name="T87" fmla="*/ 1026 h 148"/>
                <a:gd name="T88" fmla="*/ 544 w 95"/>
                <a:gd name="T89" fmla="*/ 1042 h 148"/>
                <a:gd name="T90" fmla="*/ 466 w 95"/>
                <a:gd name="T91" fmla="*/ 1098 h 148"/>
                <a:gd name="T92" fmla="*/ 438 w 95"/>
                <a:gd name="T93" fmla="*/ 1146 h 148"/>
                <a:gd name="T94" fmla="*/ 370 w 95"/>
                <a:gd name="T95" fmla="*/ 1172 h 148"/>
                <a:gd name="T96" fmla="*/ 323 w 95"/>
                <a:gd name="T97" fmla="*/ 1156 h 148"/>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95" h="148">
                  <a:moveTo>
                    <a:pt x="37" y="146"/>
                  </a:moveTo>
                  <a:lnTo>
                    <a:pt x="34" y="144"/>
                  </a:lnTo>
                  <a:lnTo>
                    <a:pt x="29" y="146"/>
                  </a:lnTo>
                  <a:lnTo>
                    <a:pt x="25" y="147"/>
                  </a:lnTo>
                  <a:lnTo>
                    <a:pt x="22" y="145"/>
                  </a:lnTo>
                  <a:lnTo>
                    <a:pt x="19" y="144"/>
                  </a:lnTo>
                  <a:lnTo>
                    <a:pt x="15" y="146"/>
                  </a:lnTo>
                  <a:lnTo>
                    <a:pt x="13" y="148"/>
                  </a:lnTo>
                  <a:lnTo>
                    <a:pt x="10" y="148"/>
                  </a:lnTo>
                  <a:lnTo>
                    <a:pt x="7" y="141"/>
                  </a:lnTo>
                  <a:lnTo>
                    <a:pt x="7" y="137"/>
                  </a:lnTo>
                  <a:lnTo>
                    <a:pt x="8" y="135"/>
                  </a:lnTo>
                  <a:lnTo>
                    <a:pt x="9" y="132"/>
                  </a:lnTo>
                  <a:lnTo>
                    <a:pt x="8" y="128"/>
                  </a:lnTo>
                  <a:lnTo>
                    <a:pt x="7" y="126"/>
                  </a:lnTo>
                  <a:lnTo>
                    <a:pt x="6" y="121"/>
                  </a:lnTo>
                  <a:lnTo>
                    <a:pt x="5" y="119"/>
                  </a:lnTo>
                  <a:lnTo>
                    <a:pt x="1" y="113"/>
                  </a:lnTo>
                  <a:lnTo>
                    <a:pt x="0" y="110"/>
                  </a:lnTo>
                  <a:lnTo>
                    <a:pt x="4" y="103"/>
                  </a:lnTo>
                  <a:lnTo>
                    <a:pt x="5" y="100"/>
                  </a:lnTo>
                  <a:lnTo>
                    <a:pt x="9" y="95"/>
                  </a:lnTo>
                  <a:lnTo>
                    <a:pt x="11" y="92"/>
                  </a:lnTo>
                  <a:lnTo>
                    <a:pt x="12" y="89"/>
                  </a:lnTo>
                  <a:lnTo>
                    <a:pt x="17" y="87"/>
                  </a:lnTo>
                  <a:lnTo>
                    <a:pt x="20" y="86"/>
                  </a:lnTo>
                  <a:lnTo>
                    <a:pt x="20" y="81"/>
                  </a:lnTo>
                  <a:lnTo>
                    <a:pt x="19" y="78"/>
                  </a:lnTo>
                  <a:lnTo>
                    <a:pt x="16" y="74"/>
                  </a:lnTo>
                  <a:lnTo>
                    <a:pt x="15" y="70"/>
                  </a:lnTo>
                  <a:lnTo>
                    <a:pt x="15" y="63"/>
                  </a:lnTo>
                  <a:lnTo>
                    <a:pt x="16" y="58"/>
                  </a:lnTo>
                  <a:lnTo>
                    <a:pt x="16" y="50"/>
                  </a:lnTo>
                  <a:lnTo>
                    <a:pt x="17" y="46"/>
                  </a:lnTo>
                  <a:lnTo>
                    <a:pt x="18" y="43"/>
                  </a:lnTo>
                  <a:lnTo>
                    <a:pt x="17" y="36"/>
                  </a:lnTo>
                  <a:lnTo>
                    <a:pt x="17" y="31"/>
                  </a:lnTo>
                  <a:lnTo>
                    <a:pt x="18" y="28"/>
                  </a:lnTo>
                  <a:lnTo>
                    <a:pt x="16" y="23"/>
                  </a:lnTo>
                  <a:lnTo>
                    <a:pt x="16" y="17"/>
                  </a:lnTo>
                  <a:lnTo>
                    <a:pt x="18" y="11"/>
                  </a:lnTo>
                  <a:lnTo>
                    <a:pt x="20" y="5"/>
                  </a:lnTo>
                  <a:lnTo>
                    <a:pt x="20" y="1"/>
                  </a:lnTo>
                  <a:lnTo>
                    <a:pt x="21" y="0"/>
                  </a:lnTo>
                  <a:lnTo>
                    <a:pt x="26" y="2"/>
                  </a:lnTo>
                  <a:lnTo>
                    <a:pt x="34" y="10"/>
                  </a:lnTo>
                  <a:lnTo>
                    <a:pt x="37" y="9"/>
                  </a:lnTo>
                  <a:lnTo>
                    <a:pt x="41" y="10"/>
                  </a:lnTo>
                  <a:lnTo>
                    <a:pt x="47" y="14"/>
                  </a:lnTo>
                  <a:lnTo>
                    <a:pt x="51" y="14"/>
                  </a:lnTo>
                  <a:lnTo>
                    <a:pt x="56" y="11"/>
                  </a:lnTo>
                  <a:lnTo>
                    <a:pt x="61" y="9"/>
                  </a:lnTo>
                  <a:lnTo>
                    <a:pt x="64" y="9"/>
                  </a:lnTo>
                  <a:lnTo>
                    <a:pt x="67" y="11"/>
                  </a:lnTo>
                  <a:lnTo>
                    <a:pt x="70" y="11"/>
                  </a:lnTo>
                  <a:lnTo>
                    <a:pt x="72" y="8"/>
                  </a:lnTo>
                  <a:lnTo>
                    <a:pt x="72" y="5"/>
                  </a:lnTo>
                  <a:lnTo>
                    <a:pt x="73" y="9"/>
                  </a:lnTo>
                  <a:lnTo>
                    <a:pt x="76" y="10"/>
                  </a:lnTo>
                  <a:lnTo>
                    <a:pt x="79" y="11"/>
                  </a:lnTo>
                  <a:lnTo>
                    <a:pt x="79" y="16"/>
                  </a:lnTo>
                  <a:lnTo>
                    <a:pt x="77" y="19"/>
                  </a:lnTo>
                  <a:lnTo>
                    <a:pt x="75" y="25"/>
                  </a:lnTo>
                  <a:lnTo>
                    <a:pt x="74" y="30"/>
                  </a:lnTo>
                  <a:lnTo>
                    <a:pt x="77" y="35"/>
                  </a:lnTo>
                  <a:lnTo>
                    <a:pt x="80" y="38"/>
                  </a:lnTo>
                  <a:lnTo>
                    <a:pt x="84" y="39"/>
                  </a:lnTo>
                  <a:lnTo>
                    <a:pt x="88" y="39"/>
                  </a:lnTo>
                  <a:lnTo>
                    <a:pt x="91" y="43"/>
                  </a:lnTo>
                  <a:lnTo>
                    <a:pt x="95" y="47"/>
                  </a:lnTo>
                  <a:lnTo>
                    <a:pt x="94" y="52"/>
                  </a:lnTo>
                  <a:lnTo>
                    <a:pt x="93" y="57"/>
                  </a:lnTo>
                  <a:lnTo>
                    <a:pt x="90" y="58"/>
                  </a:lnTo>
                  <a:lnTo>
                    <a:pt x="86" y="58"/>
                  </a:lnTo>
                  <a:lnTo>
                    <a:pt x="81" y="55"/>
                  </a:lnTo>
                  <a:lnTo>
                    <a:pt x="78" y="60"/>
                  </a:lnTo>
                  <a:lnTo>
                    <a:pt x="76" y="65"/>
                  </a:lnTo>
                  <a:lnTo>
                    <a:pt x="78" y="70"/>
                  </a:lnTo>
                  <a:lnTo>
                    <a:pt x="81" y="77"/>
                  </a:lnTo>
                  <a:lnTo>
                    <a:pt x="78" y="80"/>
                  </a:lnTo>
                  <a:lnTo>
                    <a:pt x="78" y="86"/>
                  </a:lnTo>
                  <a:lnTo>
                    <a:pt x="78" y="93"/>
                  </a:lnTo>
                  <a:lnTo>
                    <a:pt x="77" y="100"/>
                  </a:lnTo>
                  <a:lnTo>
                    <a:pt x="76" y="105"/>
                  </a:lnTo>
                  <a:lnTo>
                    <a:pt x="77" y="112"/>
                  </a:lnTo>
                  <a:lnTo>
                    <a:pt x="78" y="119"/>
                  </a:lnTo>
                  <a:lnTo>
                    <a:pt x="76" y="127"/>
                  </a:lnTo>
                  <a:lnTo>
                    <a:pt x="73" y="129"/>
                  </a:lnTo>
                  <a:lnTo>
                    <a:pt x="67" y="130"/>
                  </a:lnTo>
                  <a:lnTo>
                    <a:pt x="62" y="132"/>
                  </a:lnTo>
                  <a:lnTo>
                    <a:pt x="58" y="136"/>
                  </a:lnTo>
                  <a:lnTo>
                    <a:pt x="53" y="139"/>
                  </a:lnTo>
                  <a:lnTo>
                    <a:pt x="50" y="143"/>
                  </a:lnTo>
                  <a:lnTo>
                    <a:pt x="50" y="145"/>
                  </a:lnTo>
                  <a:lnTo>
                    <a:pt x="43" y="145"/>
                  </a:lnTo>
                  <a:lnTo>
                    <a:pt x="42" y="148"/>
                  </a:lnTo>
                  <a:lnTo>
                    <a:pt x="38" y="147"/>
                  </a:lnTo>
                  <a:lnTo>
                    <a:pt x="37" y="146"/>
                  </a:lnTo>
                  <a:close/>
                </a:path>
              </a:pathLst>
            </a:custGeom>
            <a:solidFill>
              <a:schemeClr val="accent4">
                <a:lumMod val="60000"/>
                <a:lumOff val="4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45" name="Freeform 29">
              <a:extLst>
                <a:ext uri="{FF2B5EF4-FFF2-40B4-BE49-F238E27FC236}">
                  <a16:creationId xmlns:a16="http://schemas.microsoft.com/office/drawing/2014/main" id="{00000000-0008-0000-0900-0000297E1200}"/>
                </a:ext>
              </a:extLst>
            </xdr:cNvPr>
            <xdr:cNvSpPr>
              <a:spLocks noChangeAspect="1"/>
            </xdr:cNvSpPr>
          </xdr:nvSpPr>
          <xdr:spPr bwMode="auto">
            <a:xfrm rot="238154">
              <a:off x="1440" y="2990"/>
              <a:ext cx="221" cy="179"/>
            </a:xfrm>
            <a:custGeom>
              <a:avLst/>
              <a:gdLst>
                <a:gd name="T0" fmla="*/ 919 w 179"/>
                <a:gd name="T1" fmla="*/ 1009 h 146"/>
                <a:gd name="T2" fmla="*/ 427 w 179"/>
                <a:gd name="T3" fmla="*/ 1123 h 146"/>
                <a:gd name="T4" fmla="*/ 502 w 179"/>
                <a:gd name="T5" fmla="*/ 978 h 146"/>
                <a:gd name="T6" fmla="*/ 709 w 179"/>
                <a:gd name="T7" fmla="*/ 922 h 146"/>
                <a:gd name="T8" fmla="*/ 816 w 179"/>
                <a:gd name="T9" fmla="*/ 867 h 146"/>
                <a:gd name="T10" fmla="*/ 664 w 179"/>
                <a:gd name="T11" fmla="*/ 809 h 146"/>
                <a:gd name="T12" fmla="*/ 626 w 179"/>
                <a:gd name="T13" fmla="*/ 858 h 146"/>
                <a:gd name="T14" fmla="*/ 420 w 179"/>
                <a:gd name="T15" fmla="*/ 823 h 146"/>
                <a:gd name="T16" fmla="*/ 377 w 179"/>
                <a:gd name="T17" fmla="*/ 693 h 146"/>
                <a:gd name="T18" fmla="*/ 346 w 179"/>
                <a:gd name="T19" fmla="*/ 720 h 146"/>
                <a:gd name="T20" fmla="*/ 375 w 179"/>
                <a:gd name="T21" fmla="*/ 883 h 146"/>
                <a:gd name="T22" fmla="*/ 377 w 179"/>
                <a:gd name="T23" fmla="*/ 944 h 146"/>
                <a:gd name="T24" fmla="*/ 223 w 179"/>
                <a:gd name="T25" fmla="*/ 883 h 146"/>
                <a:gd name="T26" fmla="*/ 223 w 179"/>
                <a:gd name="T27" fmla="*/ 810 h 146"/>
                <a:gd name="T28" fmla="*/ 170 w 179"/>
                <a:gd name="T29" fmla="*/ 683 h 146"/>
                <a:gd name="T30" fmla="*/ 186 w 179"/>
                <a:gd name="T31" fmla="*/ 586 h 146"/>
                <a:gd name="T32" fmla="*/ 238 w 179"/>
                <a:gd name="T33" fmla="*/ 479 h 146"/>
                <a:gd name="T34" fmla="*/ 186 w 179"/>
                <a:gd name="T35" fmla="*/ 478 h 146"/>
                <a:gd name="T36" fmla="*/ 151 w 179"/>
                <a:gd name="T37" fmla="*/ 450 h 146"/>
                <a:gd name="T38" fmla="*/ 122 w 179"/>
                <a:gd name="T39" fmla="*/ 401 h 146"/>
                <a:gd name="T40" fmla="*/ 74 w 179"/>
                <a:gd name="T41" fmla="*/ 367 h 146"/>
                <a:gd name="T42" fmla="*/ 26 w 179"/>
                <a:gd name="T43" fmla="*/ 313 h 146"/>
                <a:gd name="T44" fmla="*/ 26 w 179"/>
                <a:gd name="T45" fmla="*/ 260 h 146"/>
                <a:gd name="T46" fmla="*/ 40 w 179"/>
                <a:gd name="T47" fmla="*/ 212 h 146"/>
                <a:gd name="T48" fmla="*/ 91 w 179"/>
                <a:gd name="T49" fmla="*/ 132 h 146"/>
                <a:gd name="T50" fmla="*/ 147 w 179"/>
                <a:gd name="T51" fmla="*/ 74 h 146"/>
                <a:gd name="T52" fmla="*/ 186 w 179"/>
                <a:gd name="T53" fmla="*/ 58 h 146"/>
                <a:gd name="T54" fmla="*/ 238 w 179"/>
                <a:gd name="T55" fmla="*/ 71 h 146"/>
                <a:gd name="T56" fmla="*/ 275 w 179"/>
                <a:gd name="T57" fmla="*/ 31 h 146"/>
                <a:gd name="T58" fmla="*/ 319 w 179"/>
                <a:gd name="T59" fmla="*/ 2 h 146"/>
                <a:gd name="T60" fmla="*/ 377 w 179"/>
                <a:gd name="T61" fmla="*/ 0 h 146"/>
                <a:gd name="T62" fmla="*/ 448 w 179"/>
                <a:gd name="T63" fmla="*/ 2 h 146"/>
                <a:gd name="T64" fmla="*/ 502 w 179"/>
                <a:gd name="T65" fmla="*/ 2 h 146"/>
                <a:gd name="T66" fmla="*/ 527 w 179"/>
                <a:gd name="T67" fmla="*/ 71 h 146"/>
                <a:gd name="T68" fmla="*/ 574 w 179"/>
                <a:gd name="T69" fmla="*/ 131 h 146"/>
                <a:gd name="T70" fmla="*/ 603 w 179"/>
                <a:gd name="T71" fmla="*/ 173 h 146"/>
                <a:gd name="T72" fmla="*/ 693 w 179"/>
                <a:gd name="T73" fmla="*/ 197 h 146"/>
                <a:gd name="T74" fmla="*/ 744 w 179"/>
                <a:gd name="T75" fmla="*/ 212 h 146"/>
                <a:gd name="T76" fmla="*/ 800 w 179"/>
                <a:gd name="T77" fmla="*/ 181 h 146"/>
                <a:gd name="T78" fmla="*/ 856 w 179"/>
                <a:gd name="T79" fmla="*/ 197 h 146"/>
                <a:gd name="T80" fmla="*/ 879 w 179"/>
                <a:gd name="T81" fmla="*/ 222 h 146"/>
                <a:gd name="T82" fmla="*/ 882 w 179"/>
                <a:gd name="T83" fmla="*/ 260 h 146"/>
                <a:gd name="T84" fmla="*/ 944 w 179"/>
                <a:gd name="T85" fmla="*/ 297 h 146"/>
                <a:gd name="T86" fmla="*/ 988 w 179"/>
                <a:gd name="T87" fmla="*/ 271 h 146"/>
                <a:gd name="T88" fmla="*/ 1041 w 179"/>
                <a:gd name="T89" fmla="*/ 212 h 146"/>
                <a:gd name="T90" fmla="*/ 1077 w 179"/>
                <a:gd name="T91" fmla="*/ 222 h 146"/>
                <a:gd name="T92" fmla="*/ 1100 w 179"/>
                <a:gd name="T93" fmla="*/ 244 h 146"/>
                <a:gd name="T94" fmla="*/ 1146 w 179"/>
                <a:gd name="T95" fmla="*/ 280 h 146"/>
                <a:gd name="T96" fmla="*/ 1220 w 179"/>
                <a:gd name="T97" fmla="*/ 260 h 146"/>
                <a:gd name="T98" fmla="*/ 1317 w 179"/>
                <a:gd name="T99" fmla="*/ 260 h 146"/>
                <a:gd name="T100" fmla="*/ 1475 w 179"/>
                <a:gd name="T101" fmla="*/ 260 h 146"/>
                <a:gd name="T102" fmla="*/ 1438 w 179"/>
                <a:gd name="T103" fmla="*/ 310 h 146"/>
                <a:gd name="T104" fmla="*/ 1422 w 179"/>
                <a:gd name="T105" fmla="*/ 367 h 146"/>
                <a:gd name="T106" fmla="*/ 1383 w 179"/>
                <a:gd name="T107" fmla="*/ 408 h 146"/>
                <a:gd name="T108" fmla="*/ 1340 w 179"/>
                <a:gd name="T109" fmla="*/ 478 h 146"/>
                <a:gd name="T110" fmla="*/ 1269 w 179"/>
                <a:gd name="T111" fmla="*/ 520 h 146"/>
                <a:gd name="T112" fmla="*/ 1220 w 179"/>
                <a:gd name="T113" fmla="*/ 642 h 146"/>
                <a:gd name="T114" fmla="*/ 1161 w 179"/>
                <a:gd name="T115" fmla="*/ 707 h 146"/>
                <a:gd name="T116" fmla="*/ 1112 w 179"/>
                <a:gd name="T117" fmla="*/ 750 h 146"/>
                <a:gd name="T118" fmla="*/ 1027 w 179"/>
                <a:gd name="T119" fmla="*/ 809 h 146"/>
                <a:gd name="T120" fmla="*/ 1007 w 179"/>
                <a:gd name="T121" fmla="*/ 880 h 146"/>
                <a:gd name="T122" fmla="*/ 993 w 179"/>
                <a:gd name="T123" fmla="*/ 993 h 14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0" t="0" r="r" b="b"/>
              <a:pathLst>
                <a:path w="179" h="146">
                  <a:moveTo>
                    <a:pt x="121" y="130"/>
                  </a:moveTo>
                  <a:lnTo>
                    <a:pt x="112" y="131"/>
                  </a:lnTo>
                  <a:lnTo>
                    <a:pt x="93" y="135"/>
                  </a:lnTo>
                  <a:lnTo>
                    <a:pt x="52" y="146"/>
                  </a:lnTo>
                  <a:lnTo>
                    <a:pt x="49" y="142"/>
                  </a:lnTo>
                  <a:lnTo>
                    <a:pt x="61" y="128"/>
                  </a:lnTo>
                  <a:lnTo>
                    <a:pt x="70" y="129"/>
                  </a:lnTo>
                  <a:lnTo>
                    <a:pt x="86" y="121"/>
                  </a:lnTo>
                  <a:lnTo>
                    <a:pt x="99" y="116"/>
                  </a:lnTo>
                  <a:lnTo>
                    <a:pt x="99" y="113"/>
                  </a:lnTo>
                  <a:lnTo>
                    <a:pt x="95" y="109"/>
                  </a:lnTo>
                  <a:lnTo>
                    <a:pt x="81" y="105"/>
                  </a:lnTo>
                  <a:lnTo>
                    <a:pt x="78" y="109"/>
                  </a:lnTo>
                  <a:lnTo>
                    <a:pt x="76" y="112"/>
                  </a:lnTo>
                  <a:lnTo>
                    <a:pt x="55" y="109"/>
                  </a:lnTo>
                  <a:lnTo>
                    <a:pt x="51" y="107"/>
                  </a:lnTo>
                  <a:lnTo>
                    <a:pt x="46" y="99"/>
                  </a:lnTo>
                  <a:lnTo>
                    <a:pt x="46" y="90"/>
                  </a:lnTo>
                  <a:lnTo>
                    <a:pt x="45" y="89"/>
                  </a:lnTo>
                  <a:lnTo>
                    <a:pt x="42" y="94"/>
                  </a:lnTo>
                  <a:lnTo>
                    <a:pt x="39" y="110"/>
                  </a:lnTo>
                  <a:lnTo>
                    <a:pt x="45" y="115"/>
                  </a:lnTo>
                  <a:lnTo>
                    <a:pt x="48" y="121"/>
                  </a:lnTo>
                  <a:lnTo>
                    <a:pt x="46" y="123"/>
                  </a:lnTo>
                  <a:lnTo>
                    <a:pt x="29" y="119"/>
                  </a:lnTo>
                  <a:lnTo>
                    <a:pt x="27" y="115"/>
                  </a:lnTo>
                  <a:lnTo>
                    <a:pt x="26" y="111"/>
                  </a:lnTo>
                  <a:lnTo>
                    <a:pt x="27" y="106"/>
                  </a:lnTo>
                  <a:lnTo>
                    <a:pt x="26" y="101"/>
                  </a:lnTo>
                  <a:lnTo>
                    <a:pt x="21" y="89"/>
                  </a:lnTo>
                  <a:lnTo>
                    <a:pt x="21" y="84"/>
                  </a:lnTo>
                  <a:lnTo>
                    <a:pt x="23" y="76"/>
                  </a:lnTo>
                  <a:lnTo>
                    <a:pt x="28" y="68"/>
                  </a:lnTo>
                  <a:lnTo>
                    <a:pt x="29" y="63"/>
                  </a:lnTo>
                  <a:lnTo>
                    <a:pt x="28" y="61"/>
                  </a:lnTo>
                  <a:lnTo>
                    <a:pt x="23" y="62"/>
                  </a:lnTo>
                  <a:lnTo>
                    <a:pt x="20" y="64"/>
                  </a:lnTo>
                  <a:lnTo>
                    <a:pt x="19" y="59"/>
                  </a:lnTo>
                  <a:lnTo>
                    <a:pt x="18" y="55"/>
                  </a:lnTo>
                  <a:lnTo>
                    <a:pt x="15" y="52"/>
                  </a:lnTo>
                  <a:lnTo>
                    <a:pt x="12" y="50"/>
                  </a:lnTo>
                  <a:lnTo>
                    <a:pt x="9" y="48"/>
                  </a:lnTo>
                  <a:lnTo>
                    <a:pt x="6" y="45"/>
                  </a:lnTo>
                  <a:lnTo>
                    <a:pt x="3" y="41"/>
                  </a:lnTo>
                  <a:lnTo>
                    <a:pt x="0" y="37"/>
                  </a:lnTo>
                  <a:lnTo>
                    <a:pt x="3" y="34"/>
                  </a:lnTo>
                  <a:lnTo>
                    <a:pt x="3" y="30"/>
                  </a:lnTo>
                  <a:lnTo>
                    <a:pt x="5" y="28"/>
                  </a:lnTo>
                  <a:lnTo>
                    <a:pt x="8" y="23"/>
                  </a:lnTo>
                  <a:lnTo>
                    <a:pt x="11" y="17"/>
                  </a:lnTo>
                  <a:lnTo>
                    <a:pt x="14" y="13"/>
                  </a:lnTo>
                  <a:lnTo>
                    <a:pt x="18" y="10"/>
                  </a:lnTo>
                  <a:lnTo>
                    <a:pt x="19" y="7"/>
                  </a:lnTo>
                  <a:lnTo>
                    <a:pt x="23" y="7"/>
                  </a:lnTo>
                  <a:lnTo>
                    <a:pt x="26" y="9"/>
                  </a:lnTo>
                  <a:lnTo>
                    <a:pt x="29" y="9"/>
                  </a:lnTo>
                  <a:lnTo>
                    <a:pt x="31" y="7"/>
                  </a:lnTo>
                  <a:lnTo>
                    <a:pt x="33" y="4"/>
                  </a:lnTo>
                  <a:lnTo>
                    <a:pt x="36" y="3"/>
                  </a:lnTo>
                  <a:lnTo>
                    <a:pt x="39" y="2"/>
                  </a:lnTo>
                  <a:lnTo>
                    <a:pt x="42" y="1"/>
                  </a:lnTo>
                  <a:lnTo>
                    <a:pt x="46" y="0"/>
                  </a:lnTo>
                  <a:lnTo>
                    <a:pt x="49" y="0"/>
                  </a:lnTo>
                  <a:lnTo>
                    <a:pt x="54" y="2"/>
                  </a:lnTo>
                  <a:lnTo>
                    <a:pt x="57" y="2"/>
                  </a:lnTo>
                  <a:lnTo>
                    <a:pt x="61" y="2"/>
                  </a:lnTo>
                  <a:lnTo>
                    <a:pt x="62" y="4"/>
                  </a:lnTo>
                  <a:lnTo>
                    <a:pt x="64" y="9"/>
                  </a:lnTo>
                  <a:lnTo>
                    <a:pt x="67" y="12"/>
                  </a:lnTo>
                  <a:lnTo>
                    <a:pt x="70" y="16"/>
                  </a:lnTo>
                  <a:lnTo>
                    <a:pt x="71" y="20"/>
                  </a:lnTo>
                  <a:lnTo>
                    <a:pt x="74" y="23"/>
                  </a:lnTo>
                  <a:lnTo>
                    <a:pt x="79" y="24"/>
                  </a:lnTo>
                  <a:lnTo>
                    <a:pt x="84" y="25"/>
                  </a:lnTo>
                  <a:lnTo>
                    <a:pt x="87" y="26"/>
                  </a:lnTo>
                  <a:lnTo>
                    <a:pt x="91" y="28"/>
                  </a:lnTo>
                  <a:lnTo>
                    <a:pt x="94" y="25"/>
                  </a:lnTo>
                  <a:lnTo>
                    <a:pt x="97" y="24"/>
                  </a:lnTo>
                  <a:lnTo>
                    <a:pt x="101" y="24"/>
                  </a:lnTo>
                  <a:lnTo>
                    <a:pt x="104" y="25"/>
                  </a:lnTo>
                  <a:lnTo>
                    <a:pt x="106" y="26"/>
                  </a:lnTo>
                  <a:lnTo>
                    <a:pt x="107" y="29"/>
                  </a:lnTo>
                  <a:lnTo>
                    <a:pt x="108" y="32"/>
                  </a:lnTo>
                  <a:lnTo>
                    <a:pt x="108" y="34"/>
                  </a:lnTo>
                  <a:lnTo>
                    <a:pt x="111" y="36"/>
                  </a:lnTo>
                  <a:lnTo>
                    <a:pt x="115" y="38"/>
                  </a:lnTo>
                  <a:lnTo>
                    <a:pt x="118" y="38"/>
                  </a:lnTo>
                  <a:lnTo>
                    <a:pt x="120" y="35"/>
                  </a:lnTo>
                  <a:lnTo>
                    <a:pt x="123" y="32"/>
                  </a:lnTo>
                  <a:lnTo>
                    <a:pt x="126" y="28"/>
                  </a:lnTo>
                  <a:lnTo>
                    <a:pt x="128" y="28"/>
                  </a:lnTo>
                  <a:lnTo>
                    <a:pt x="130" y="29"/>
                  </a:lnTo>
                  <a:lnTo>
                    <a:pt x="132" y="29"/>
                  </a:lnTo>
                  <a:lnTo>
                    <a:pt x="134" y="32"/>
                  </a:lnTo>
                  <a:lnTo>
                    <a:pt x="137" y="35"/>
                  </a:lnTo>
                  <a:lnTo>
                    <a:pt x="139" y="37"/>
                  </a:lnTo>
                  <a:lnTo>
                    <a:pt x="142" y="36"/>
                  </a:lnTo>
                  <a:lnTo>
                    <a:pt x="148" y="34"/>
                  </a:lnTo>
                  <a:lnTo>
                    <a:pt x="155" y="32"/>
                  </a:lnTo>
                  <a:lnTo>
                    <a:pt x="160" y="34"/>
                  </a:lnTo>
                  <a:lnTo>
                    <a:pt x="167" y="35"/>
                  </a:lnTo>
                  <a:lnTo>
                    <a:pt x="179" y="34"/>
                  </a:lnTo>
                  <a:lnTo>
                    <a:pt x="175" y="38"/>
                  </a:lnTo>
                  <a:lnTo>
                    <a:pt x="175" y="40"/>
                  </a:lnTo>
                  <a:lnTo>
                    <a:pt x="174" y="45"/>
                  </a:lnTo>
                  <a:lnTo>
                    <a:pt x="173" y="48"/>
                  </a:lnTo>
                  <a:lnTo>
                    <a:pt x="170" y="52"/>
                  </a:lnTo>
                  <a:lnTo>
                    <a:pt x="168" y="54"/>
                  </a:lnTo>
                  <a:lnTo>
                    <a:pt x="164" y="60"/>
                  </a:lnTo>
                  <a:lnTo>
                    <a:pt x="163" y="62"/>
                  </a:lnTo>
                  <a:lnTo>
                    <a:pt x="158" y="65"/>
                  </a:lnTo>
                  <a:lnTo>
                    <a:pt x="155" y="68"/>
                  </a:lnTo>
                  <a:lnTo>
                    <a:pt x="152" y="73"/>
                  </a:lnTo>
                  <a:lnTo>
                    <a:pt x="148" y="84"/>
                  </a:lnTo>
                  <a:lnTo>
                    <a:pt x="146" y="85"/>
                  </a:lnTo>
                  <a:lnTo>
                    <a:pt x="141" y="92"/>
                  </a:lnTo>
                  <a:lnTo>
                    <a:pt x="139" y="97"/>
                  </a:lnTo>
                  <a:lnTo>
                    <a:pt x="135" y="98"/>
                  </a:lnTo>
                  <a:lnTo>
                    <a:pt x="128" y="102"/>
                  </a:lnTo>
                  <a:lnTo>
                    <a:pt x="125" y="105"/>
                  </a:lnTo>
                  <a:lnTo>
                    <a:pt x="124" y="108"/>
                  </a:lnTo>
                  <a:lnTo>
                    <a:pt x="122" y="114"/>
                  </a:lnTo>
                  <a:lnTo>
                    <a:pt x="121" y="123"/>
                  </a:lnTo>
                  <a:lnTo>
                    <a:pt x="121" y="130"/>
                  </a:lnTo>
                  <a:close/>
                </a:path>
              </a:pathLst>
            </a:custGeom>
            <a:solidFill>
              <a:srgbClr val="BDC3C4"/>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46" name="Freeform 30">
              <a:extLst>
                <a:ext uri="{FF2B5EF4-FFF2-40B4-BE49-F238E27FC236}">
                  <a16:creationId xmlns:a16="http://schemas.microsoft.com/office/drawing/2014/main" id="{00000000-0008-0000-0900-00002A7E1200}"/>
                </a:ext>
              </a:extLst>
            </xdr:cNvPr>
            <xdr:cNvSpPr>
              <a:spLocks noChangeAspect="1"/>
            </xdr:cNvSpPr>
          </xdr:nvSpPr>
          <xdr:spPr bwMode="auto">
            <a:xfrm rot="238154">
              <a:off x="1277" y="3011"/>
              <a:ext cx="202" cy="313"/>
            </a:xfrm>
            <a:custGeom>
              <a:avLst/>
              <a:gdLst>
                <a:gd name="T0" fmla="*/ 169 w 164"/>
                <a:gd name="T1" fmla="*/ 2041 h 254"/>
                <a:gd name="T2" fmla="*/ 137 w 164"/>
                <a:gd name="T3" fmla="*/ 2006 h 254"/>
                <a:gd name="T4" fmla="*/ 90 w 164"/>
                <a:gd name="T5" fmla="*/ 1935 h 254"/>
                <a:gd name="T6" fmla="*/ 2 w 164"/>
                <a:gd name="T7" fmla="*/ 1837 h 254"/>
                <a:gd name="T8" fmla="*/ 0 w 164"/>
                <a:gd name="T9" fmla="*/ 1761 h 254"/>
                <a:gd name="T10" fmla="*/ 39 w 164"/>
                <a:gd name="T11" fmla="*/ 1778 h 254"/>
                <a:gd name="T12" fmla="*/ 107 w 164"/>
                <a:gd name="T13" fmla="*/ 1747 h 254"/>
                <a:gd name="T14" fmla="*/ 132 w 164"/>
                <a:gd name="T15" fmla="*/ 1701 h 254"/>
                <a:gd name="T16" fmla="*/ 201 w 164"/>
                <a:gd name="T17" fmla="*/ 1645 h 254"/>
                <a:gd name="T18" fmla="*/ 289 w 164"/>
                <a:gd name="T19" fmla="*/ 1628 h 254"/>
                <a:gd name="T20" fmla="*/ 334 w 164"/>
                <a:gd name="T21" fmla="*/ 1540 h 254"/>
                <a:gd name="T22" fmla="*/ 315 w 164"/>
                <a:gd name="T23" fmla="*/ 1429 h 254"/>
                <a:gd name="T24" fmla="*/ 334 w 164"/>
                <a:gd name="T25" fmla="*/ 1330 h 254"/>
                <a:gd name="T26" fmla="*/ 334 w 164"/>
                <a:gd name="T27" fmla="*/ 1222 h 254"/>
                <a:gd name="T28" fmla="*/ 334 w 164"/>
                <a:gd name="T29" fmla="*/ 1150 h 254"/>
                <a:gd name="T30" fmla="*/ 334 w 164"/>
                <a:gd name="T31" fmla="*/ 1072 h 254"/>
                <a:gd name="T32" fmla="*/ 390 w 164"/>
                <a:gd name="T33" fmla="*/ 1045 h 254"/>
                <a:gd name="T34" fmla="*/ 451 w 164"/>
                <a:gd name="T35" fmla="*/ 1041 h 254"/>
                <a:gd name="T36" fmla="*/ 463 w 164"/>
                <a:gd name="T37" fmla="*/ 965 h 254"/>
                <a:gd name="T38" fmla="*/ 411 w 164"/>
                <a:gd name="T39" fmla="*/ 895 h 254"/>
                <a:gd name="T40" fmla="*/ 346 w 164"/>
                <a:gd name="T41" fmla="*/ 893 h 254"/>
                <a:gd name="T42" fmla="*/ 301 w 164"/>
                <a:gd name="T43" fmla="*/ 823 h 254"/>
                <a:gd name="T44" fmla="*/ 317 w 164"/>
                <a:gd name="T45" fmla="*/ 733 h 254"/>
                <a:gd name="T46" fmla="*/ 339 w 164"/>
                <a:gd name="T47" fmla="*/ 668 h 254"/>
                <a:gd name="T48" fmla="*/ 289 w 164"/>
                <a:gd name="T49" fmla="*/ 653 h 254"/>
                <a:gd name="T50" fmla="*/ 289 w 164"/>
                <a:gd name="T51" fmla="*/ 589 h 254"/>
                <a:gd name="T52" fmla="*/ 356 w 164"/>
                <a:gd name="T53" fmla="*/ 542 h 254"/>
                <a:gd name="T54" fmla="*/ 376 w 164"/>
                <a:gd name="T55" fmla="*/ 478 h 254"/>
                <a:gd name="T56" fmla="*/ 411 w 164"/>
                <a:gd name="T57" fmla="*/ 440 h 254"/>
                <a:gd name="T58" fmla="*/ 451 w 164"/>
                <a:gd name="T59" fmla="*/ 465 h 254"/>
                <a:gd name="T60" fmla="*/ 539 w 164"/>
                <a:gd name="T61" fmla="*/ 486 h 254"/>
                <a:gd name="T62" fmla="*/ 620 w 164"/>
                <a:gd name="T63" fmla="*/ 478 h 254"/>
                <a:gd name="T64" fmla="*/ 653 w 164"/>
                <a:gd name="T65" fmla="*/ 392 h 254"/>
                <a:gd name="T66" fmla="*/ 693 w 164"/>
                <a:gd name="T67" fmla="*/ 335 h 254"/>
                <a:gd name="T68" fmla="*/ 735 w 164"/>
                <a:gd name="T69" fmla="*/ 132 h 254"/>
                <a:gd name="T70" fmla="*/ 728 w 164"/>
                <a:gd name="T71" fmla="*/ 26 h 254"/>
                <a:gd name="T72" fmla="*/ 804 w 164"/>
                <a:gd name="T73" fmla="*/ 26 h 254"/>
                <a:gd name="T74" fmla="*/ 872 w 164"/>
                <a:gd name="T75" fmla="*/ 0 h 254"/>
                <a:gd name="T76" fmla="*/ 905 w 164"/>
                <a:gd name="T77" fmla="*/ 39 h 254"/>
                <a:gd name="T78" fmla="*/ 941 w 164"/>
                <a:gd name="T79" fmla="*/ 107 h 254"/>
                <a:gd name="T80" fmla="*/ 977 w 164"/>
                <a:gd name="T81" fmla="*/ 111 h 254"/>
                <a:gd name="T82" fmla="*/ 1015 w 164"/>
                <a:gd name="T83" fmla="*/ 78 h 254"/>
                <a:gd name="T84" fmla="*/ 1073 w 164"/>
                <a:gd name="T85" fmla="*/ 145 h 254"/>
                <a:gd name="T86" fmla="*/ 1115 w 164"/>
                <a:gd name="T87" fmla="*/ 185 h 254"/>
                <a:gd name="T88" fmla="*/ 1164 w 164"/>
                <a:gd name="T89" fmla="*/ 228 h 254"/>
                <a:gd name="T90" fmla="*/ 1185 w 164"/>
                <a:gd name="T91" fmla="*/ 301 h 254"/>
                <a:gd name="T92" fmla="*/ 1040 w 164"/>
                <a:gd name="T93" fmla="*/ 377 h 254"/>
                <a:gd name="T94" fmla="*/ 1008 w 164"/>
                <a:gd name="T95" fmla="*/ 542 h 254"/>
                <a:gd name="T96" fmla="*/ 910 w 164"/>
                <a:gd name="T97" fmla="*/ 620 h 254"/>
                <a:gd name="T98" fmla="*/ 893 w 164"/>
                <a:gd name="T99" fmla="*/ 726 h 254"/>
                <a:gd name="T100" fmla="*/ 910 w 164"/>
                <a:gd name="T101" fmla="*/ 870 h 254"/>
                <a:gd name="T102" fmla="*/ 1042 w 164"/>
                <a:gd name="T103" fmla="*/ 941 h 254"/>
                <a:gd name="T104" fmla="*/ 1187 w 164"/>
                <a:gd name="T105" fmla="*/ 981 h 254"/>
                <a:gd name="T106" fmla="*/ 1283 w 164"/>
                <a:gd name="T107" fmla="*/ 966 h 254"/>
                <a:gd name="T108" fmla="*/ 1281 w 164"/>
                <a:gd name="T109" fmla="*/ 1356 h 254"/>
                <a:gd name="T110" fmla="*/ 1121 w 164"/>
                <a:gd name="T111" fmla="*/ 1391 h 254"/>
                <a:gd name="T112" fmla="*/ 945 w 164"/>
                <a:gd name="T113" fmla="*/ 1359 h 254"/>
                <a:gd name="T114" fmla="*/ 634 w 164"/>
                <a:gd name="T115" fmla="*/ 1417 h 254"/>
                <a:gd name="T116" fmla="*/ 539 w 164"/>
                <a:gd name="T117" fmla="*/ 1540 h 254"/>
                <a:gd name="T118" fmla="*/ 485 w 164"/>
                <a:gd name="T119" fmla="*/ 1587 h 254"/>
                <a:gd name="T120" fmla="*/ 463 w 164"/>
                <a:gd name="T121" fmla="*/ 1739 h 254"/>
                <a:gd name="T122" fmla="*/ 305 w 164"/>
                <a:gd name="T123" fmla="*/ 1852 h 254"/>
                <a:gd name="T124" fmla="*/ 208 w 164"/>
                <a:gd name="T125" fmla="*/ 2007 h 254"/>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60000 65536"/>
                <a:gd name="T187" fmla="*/ 0 60000 65536"/>
                <a:gd name="T188" fmla="*/ 0 60000 65536"/>
              </a:gdLst>
              <a:ahLst/>
              <a:cxnLst>
                <a:cxn ang="T126">
                  <a:pos x="T0" y="T1"/>
                </a:cxn>
                <a:cxn ang="T127">
                  <a:pos x="T2" y="T3"/>
                </a:cxn>
                <a:cxn ang="T128">
                  <a:pos x="T4" y="T5"/>
                </a:cxn>
                <a:cxn ang="T129">
                  <a:pos x="T6" y="T7"/>
                </a:cxn>
                <a:cxn ang="T130">
                  <a:pos x="T8" y="T9"/>
                </a:cxn>
                <a:cxn ang="T131">
                  <a:pos x="T10" y="T11"/>
                </a:cxn>
                <a:cxn ang="T132">
                  <a:pos x="T12" y="T13"/>
                </a:cxn>
                <a:cxn ang="T133">
                  <a:pos x="T14" y="T15"/>
                </a:cxn>
                <a:cxn ang="T134">
                  <a:pos x="T16" y="T17"/>
                </a:cxn>
                <a:cxn ang="T135">
                  <a:pos x="T18" y="T19"/>
                </a:cxn>
                <a:cxn ang="T136">
                  <a:pos x="T20" y="T21"/>
                </a:cxn>
                <a:cxn ang="T137">
                  <a:pos x="T22" y="T23"/>
                </a:cxn>
                <a:cxn ang="T138">
                  <a:pos x="T24" y="T25"/>
                </a:cxn>
                <a:cxn ang="T139">
                  <a:pos x="T26" y="T27"/>
                </a:cxn>
                <a:cxn ang="T140">
                  <a:pos x="T28" y="T29"/>
                </a:cxn>
                <a:cxn ang="T141">
                  <a:pos x="T30" y="T31"/>
                </a:cxn>
                <a:cxn ang="T142">
                  <a:pos x="T32" y="T33"/>
                </a:cxn>
                <a:cxn ang="T143">
                  <a:pos x="T34" y="T35"/>
                </a:cxn>
                <a:cxn ang="T144">
                  <a:pos x="T36" y="T37"/>
                </a:cxn>
                <a:cxn ang="T145">
                  <a:pos x="T38" y="T39"/>
                </a:cxn>
                <a:cxn ang="T146">
                  <a:pos x="T40" y="T41"/>
                </a:cxn>
                <a:cxn ang="T147">
                  <a:pos x="T42" y="T43"/>
                </a:cxn>
                <a:cxn ang="T148">
                  <a:pos x="T44" y="T45"/>
                </a:cxn>
                <a:cxn ang="T149">
                  <a:pos x="T46" y="T47"/>
                </a:cxn>
                <a:cxn ang="T150">
                  <a:pos x="T48" y="T49"/>
                </a:cxn>
                <a:cxn ang="T151">
                  <a:pos x="T50" y="T51"/>
                </a:cxn>
                <a:cxn ang="T152">
                  <a:pos x="T52" y="T53"/>
                </a:cxn>
                <a:cxn ang="T153">
                  <a:pos x="T54" y="T55"/>
                </a:cxn>
                <a:cxn ang="T154">
                  <a:pos x="T56" y="T57"/>
                </a:cxn>
                <a:cxn ang="T155">
                  <a:pos x="T58" y="T59"/>
                </a:cxn>
                <a:cxn ang="T156">
                  <a:pos x="T60" y="T61"/>
                </a:cxn>
                <a:cxn ang="T157">
                  <a:pos x="T62" y="T63"/>
                </a:cxn>
                <a:cxn ang="T158">
                  <a:pos x="T64" y="T65"/>
                </a:cxn>
                <a:cxn ang="T159">
                  <a:pos x="T66" y="T67"/>
                </a:cxn>
                <a:cxn ang="T160">
                  <a:pos x="T68" y="T69"/>
                </a:cxn>
                <a:cxn ang="T161">
                  <a:pos x="T70" y="T71"/>
                </a:cxn>
                <a:cxn ang="T162">
                  <a:pos x="T72" y="T73"/>
                </a:cxn>
                <a:cxn ang="T163">
                  <a:pos x="T74" y="T75"/>
                </a:cxn>
                <a:cxn ang="T164">
                  <a:pos x="T76" y="T77"/>
                </a:cxn>
                <a:cxn ang="T165">
                  <a:pos x="T78" y="T79"/>
                </a:cxn>
                <a:cxn ang="T166">
                  <a:pos x="T80" y="T81"/>
                </a:cxn>
                <a:cxn ang="T167">
                  <a:pos x="T82" y="T83"/>
                </a:cxn>
                <a:cxn ang="T168">
                  <a:pos x="T84" y="T85"/>
                </a:cxn>
                <a:cxn ang="T169">
                  <a:pos x="T86" y="T87"/>
                </a:cxn>
                <a:cxn ang="T170">
                  <a:pos x="T88" y="T89"/>
                </a:cxn>
                <a:cxn ang="T171">
                  <a:pos x="T90" y="T91"/>
                </a:cxn>
                <a:cxn ang="T172">
                  <a:pos x="T92" y="T93"/>
                </a:cxn>
                <a:cxn ang="T173">
                  <a:pos x="T94" y="T95"/>
                </a:cxn>
                <a:cxn ang="T174">
                  <a:pos x="T96" y="T97"/>
                </a:cxn>
                <a:cxn ang="T175">
                  <a:pos x="T98" y="T99"/>
                </a:cxn>
                <a:cxn ang="T176">
                  <a:pos x="T100" y="T101"/>
                </a:cxn>
                <a:cxn ang="T177">
                  <a:pos x="T102" y="T103"/>
                </a:cxn>
                <a:cxn ang="T178">
                  <a:pos x="T104" y="T105"/>
                </a:cxn>
                <a:cxn ang="T179">
                  <a:pos x="T106" y="T107"/>
                </a:cxn>
                <a:cxn ang="T180">
                  <a:pos x="T108" y="T109"/>
                </a:cxn>
                <a:cxn ang="T181">
                  <a:pos x="T110" y="T111"/>
                </a:cxn>
                <a:cxn ang="T182">
                  <a:pos x="T112" y="T113"/>
                </a:cxn>
                <a:cxn ang="T183">
                  <a:pos x="T114" y="T115"/>
                </a:cxn>
                <a:cxn ang="T184">
                  <a:pos x="T116" y="T117"/>
                </a:cxn>
                <a:cxn ang="T185">
                  <a:pos x="T118" y="T119"/>
                </a:cxn>
                <a:cxn ang="T186">
                  <a:pos x="T120" y="T121"/>
                </a:cxn>
                <a:cxn ang="T187">
                  <a:pos x="T122" y="T123"/>
                </a:cxn>
                <a:cxn ang="T188">
                  <a:pos x="T124" y="T125"/>
                </a:cxn>
              </a:cxnLst>
              <a:rect l="0" t="0" r="r" b="b"/>
              <a:pathLst>
                <a:path w="164" h="254">
                  <a:moveTo>
                    <a:pt x="23" y="254"/>
                  </a:moveTo>
                  <a:lnTo>
                    <a:pt x="21" y="253"/>
                  </a:lnTo>
                  <a:lnTo>
                    <a:pt x="17" y="251"/>
                  </a:lnTo>
                  <a:lnTo>
                    <a:pt x="17" y="248"/>
                  </a:lnTo>
                  <a:lnTo>
                    <a:pt x="13" y="244"/>
                  </a:lnTo>
                  <a:lnTo>
                    <a:pt x="11" y="239"/>
                  </a:lnTo>
                  <a:lnTo>
                    <a:pt x="7" y="235"/>
                  </a:lnTo>
                  <a:lnTo>
                    <a:pt x="2" y="228"/>
                  </a:lnTo>
                  <a:lnTo>
                    <a:pt x="2" y="223"/>
                  </a:lnTo>
                  <a:lnTo>
                    <a:pt x="0" y="218"/>
                  </a:lnTo>
                  <a:lnTo>
                    <a:pt x="1" y="219"/>
                  </a:lnTo>
                  <a:lnTo>
                    <a:pt x="5" y="220"/>
                  </a:lnTo>
                  <a:lnTo>
                    <a:pt x="6" y="217"/>
                  </a:lnTo>
                  <a:lnTo>
                    <a:pt x="13" y="217"/>
                  </a:lnTo>
                  <a:lnTo>
                    <a:pt x="13" y="215"/>
                  </a:lnTo>
                  <a:lnTo>
                    <a:pt x="16" y="211"/>
                  </a:lnTo>
                  <a:lnTo>
                    <a:pt x="21" y="208"/>
                  </a:lnTo>
                  <a:lnTo>
                    <a:pt x="25" y="204"/>
                  </a:lnTo>
                  <a:lnTo>
                    <a:pt x="30" y="202"/>
                  </a:lnTo>
                  <a:lnTo>
                    <a:pt x="36" y="201"/>
                  </a:lnTo>
                  <a:lnTo>
                    <a:pt x="39" y="199"/>
                  </a:lnTo>
                  <a:lnTo>
                    <a:pt x="41" y="191"/>
                  </a:lnTo>
                  <a:lnTo>
                    <a:pt x="40" y="184"/>
                  </a:lnTo>
                  <a:lnTo>
                    <a:pt x="39" y="177"/>
                  </a:lnTo>
                  <a:lnTo>
                    <a:pt x="40" y="172"/>
                  </a:lnTo>
                  <a:lnTo>
                    <a:pt x="41" y="165"/>
                  </a:lnTo>
                  <a:lnTo>
                    <a:pt x="41" y="158"/>
                  </a:lnTo>
                  <a:lnTo>
                    <a:pt x="41" y="152"/>
                  </a:lnTo>
                  <a:lnTo>
                    <a:pt x="44" y="149"/>
                  </a:lnTo>
                  <a:lnTo>
                    <a:pt x="41" y="142"/>
                  </a:lnTo>
                  <a:lnTo>
                    <a:pt x="39" y="137"/>
                  </a:lnTo>
                  <a:lnTo>
                    <a:pt x="41" y="132"/>
                  </a:lnTo>
                  <a:lnTo>
                    <a:pt x="44" y="127"/>
                  </a:lnTo>
                  <a:lnTo>
                    <a:pt x="49" y="130"/>
                  </a:lnTo>
                  <a:lnTo>
                    <a:pt x="53" y="130"/>
                  </a:lnTo>
                  <a:lnTo>
                    <a:pt x="56" y="129"/>
                  </a:lnTo>
                  <a:lnTo>
                    <a:pt x="57" y="124"/>
                  </a:lnTo>
                  <a:lnTo>
                    <a:pt x="58" y="119"/>
                  </a:lnTo>
                  <a:lnTo>
                    <a:pt x="54" y="115"/>
                  </a:lnTo>
                  <a:lnTo>
                    <a:pt x="51" y="111"/>
                  </a:lnTo>
                  <a:lnTo>
                    <a:pt x="47" y="111"/>
                  </a:lnTo>
                  <a:lnTo>
                    <a:pt x="43" y="110"/>
                  </a:lnTo>
                  <a:lnTo>
                    <a:pt x="40" y="107"/>
                  </a:lnTo>
                  <a:lnTo>
                    <a:pt x="37" y="102"/>
                  </a:lnTo>
                  <a:lnTo>
                    <a:pt x="38" y="97"/>
                  </a:lnTo>
                  <a:lnTo>
                    <a:pt x="40" y="91"/>
                  </a:lnTo>
                  <a:lnTo>
                    <a:pt x="42" y="88"/>
                  </a:lnTo>
                  <a:lnTo>
                    <a:pt x="42" y="83"/>
                  </a:lnTo>
                  <a:lnTo>
                    <a:pt x="39" y="82"/>
                  </a:lnTo>
                  <a:lnTo>
                    <a:pt x="36" y="81"/>
                  </a:lnTo>
                  <a:lnTo>
                    <a:pt x="35" y="77"/>
                  </a:lnTo>
                  <a:lnTo>
                    <a:pt x="36" y="73"/>
                  </a:lnTo>
                  <a:lnTo>
                    <a:pt x="41" y="70"/>
                  </a:lnTo>
                  <a:lnTo>
                    <a:pt x="44" y="67"/>
                  </a:lnTo>
                  <a:lnTo>
                    <a:pt x="47" y="64"/>
                  </a:lnTo>
                  <a:lnTo>
                    <a:pt x="47" y="59"/>
                  </a:lnTo>
                  <a:lnTo>
                    <a:pt x="47" y="55"/>
                  </a:lnTo>
                  <a:lnTo>
                    <a:pt x="51" y="54"/>
                  </a:lnTo>
                  <a:lnTo>
                    <a:pt x="53" y="56"/>
                  </a:lnTo>
                  <a:lnTo>
                    <a:pt x="56" y="58"/>
                  </a:lnTo>
                  <a:lnTo>
                    <a:pt x="61" y="59"/>
                  </a:lnTo>
                  <a:lnTo>
                    <a:pt x="67" y="61"/>
                  </a:lnTo>
                  <a:lnTo>
                    <a:pt x="71" y="61"/>
                  </a:lnTo>
                  <a:lnTo>
                    <a:pt x="77" y="59"/>
                  </a:lnTo>
                  <a:lnTo>
                    <a:pt x="79" y="54"/>
                  </a:lnTo>
                  <a:lnTo>
                    <a:pt x="81" y="49"/>
                  </a:lnTo>
                  <a:lnTo>
                    <a:pt x="84" y="46"/>
                  </a:lnTo>
                  <a:lnTo>
                    <a:pt x="86" y="41"/>
                  </a:lnTo>
                  <a:lnTo>
                    <a:pt x="91" y="27"/>
                  </a:lnTo>
                  <a:lnTo>
                    <a:pt x="92" y="16"/>
                  </a:lnTo>
                  <a:lnTo>
                    <a:pt x="92" y="11"/>
                  </a:lnTo>
                  <a:lnTo>
                    <a:pt x="91" y="3"/>
                  </a:lnTo>
                  <a:lnTo>
                    <a:pt x="95" y="4"/>
                  </a:lnTo>
                  <a:lnTo>
                    <a:pt x="100" y="3"/>
                  </a:lnTo>
                  <a:lnTo>
                    <a:pt x="104" y="3"/>
                  </a:lnTo>
                  <a:lnTo>
                    <a:pt x="109" y="0"/>
                  </a:lnTo>
                  <a:lnTo>
                    <a:pt x="110" y="0"/>
                  </a:lnTo>
                  <a:lnTo>
                    <a:pt x="113" y="5"/>
                  </a:lnTo>
                  <a:lnTo>
                    <a:pt x="115" y="9"/>
                  </a:lnTo>
                  <a:lnTo>
                    <a:pt x="117" y="13"/>
                  </a:lnTo>
                  <a:lnTo>
                    <a:pt x="119" y="14"/>
                  </a:lnTo>
                  <a:lnTo>
                    <a:pt x="121" y="14"/>
                  </a:lnTo>
                  <a:lnTo>
                    <a:pt x="126" y="11"/>
                  </a:lnTo>
                  <a:lnTo>
                    <a:pt x="127" y="10"/>
                  </a:lnTo>
                  <a:lnTo>
                    <a:pt x="130" y="14"/>
                  </a:lnTo>
                  <a:lnTo>
                    <a:pt x="133" y="18"/>
                  </a:lnTo>
                  <a:lnTo>
                    <a:pt x="136" y="21"/>
                  </a:lnTo>
                  <a:lnTo>
                    <a:pt x="139" y="23"/>
                  </a:lnTo>
                  <a:lnTo>
                    <a:pt x="142" y="25"/>
                  </a:lnTo>
                  <a:lnTo>
                    <a:pt x="145" y="28"/>
                  </a:lnTo>
                  <a:lnTo>
                    <a:pt x="146" y="32"/>
                  </a:lnTo>
                  <a:lnTo>
                    <a:pt x="147" y="37"/>
                  </a:lnTo>
                  <a:lnTo>
                    <a:pt x="136" y="41"/>
                  </a:lnTo>
                  <a:lnTo>
                    <a:pt x="129" y="47"/>
                  </a:lnTo>
                  <a:lnTo>
                    <a:pt x="127" y="55"/>
                  </a:lnTo>
                  <a:lnTo>
                    <a:pt x="126" y="67"/>
                  </a:lnTo>
                  <a:lnTo>
                    <a:pt x="123" y="70"/>
                  </a:lnTo>
                  <a:lnTo>
                    <a:pt x="114" y="77"/>
                  </a:lnTo>
                  <a:lnTo>
                    <a:pt x="112" y="82"/>
                  </a:lnTo>
                  <a:lnTo>
                    <a:pt x="111" y="90"/>
                  </a:lnTo>
                  <a:lnTo>
                    <a:pt x="111" y="99"/>
                  </a:lnTo>
                  <a:lnTo>
                    <a:pt x="114" y="107"/>
                  </a:lnTo>
                  <a:lnTo>
                    <a:pt x="120" y="111"/>
                  </a:lnTo>
                  <a:lnTo>
                    <a:pt x="130" y="117"/>
                  </a:lnTo>
                  <a:lnTo>
                    <a:pt x="139" y="121"/>
                  </a:lnTo>
                  <a:lnTo>
                    <a:pt x="148" y="121"/>
                  </a:lnTo>
                  <a:lnTo>
                    <a:pt x="156" y="122"/>
                  </a:lnTo>
                  <a:lnTo>
                    <a:pt x="160" y="120"/>
                  </a:lnTo>
                  <a:lnTo>
                    <a:pt x="164" y="140"/>
                  </a:lnTo>
                  <a:lnTo>
                    <a:pt x="159" y="168"/>
                  </a:lnTo>
                  <a:lnTo>
                    <a:pt x="155" y="170"/>
                  </a:lnTo>
                  <a:lnTo>
                    <a:pt x="140" y="172"/>
                  </a:lnTo>
                  <a:lnTo>
                    <a:pt x="122" y="171"/>
                  </a:lnTo>
                  <a:lnTo>
                    <a:pt x="118" y="169"/>
                  </a:lnTo>
                  <a:lnTo>
                    <a:pt x="97" y="170"/>
                  </a:lnTo>
                  <a:lnTo>
                    <a:pt x="79" y="175"/>
                  </a:lnTo>
                  <a:lnTo>
                    <a:pt x="73" y="182"/>
                  </a:lnTo>
                  <a:lnTo>
                    <a:pt x="67" y="191"/>
                  </a:lnTo>
                  <a:lnTo>
                    <a:pt x="63" y="194"/>
                  </a:lnTo>
                  <a:lnTo>
                    <a:pt x="61" y="197"/>
                  </a:lnTo>
                  <a:lnTo>
                    <a:pt x="60" y="211"/>
                  </a:lnTo>
                  <a:lnTo>
                    <a:pt x="58" y="215"/>
                  </a:lnTo>
                  <a:lnTo>
                    <a:pt x="43" y="224"/>
                  </a:lnTo>
                  <a:lnTo>
                    <a:pt x="38" y="229"/>
                  </a:lnTo>
                  <a:lnTo>
                    <a:pt x="32" y="239"/>
                  </a:lnTo>
                  <a:lnTo>
                    <a:pt x="26" y="249"/>
                  </a:lnTo>
                  <a:lnTo>
                    <a:pt x="23" y="254"/>
                  </a:lnTo>
                  <a:close/>
                </a:path>
              </a:pathLst>
            </a:custGeom>
            <a:solidFill>
              <a:srgbClr val="BDC3C4"/>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47" name="Freeform 31" descr="右下がり対角線 (太)">
              <a:extLst>
                <a:ext uri="{FF2B5EF4-FFF2-40B4-BE49-F238E27FC236}">
                  <a16:creationId xmlns:a16="http://schemas.microsoft.com/office/drawing/2014/main" id="{00000000-0008-0000-0900-00002B7E1200}"/>
                </a:ext>
              </a:extLst>
            </xdr:cNvPr>
            <xdr:cNvSpPr>
              <a:spLocks noChangeAspect="1"/>
            </xdr:cNvSpPr>
          </xdr:nvSpPr>
          <xdr:spPr bwMode="auto">
            <a:xfrm rot="238154">
              <a:off x="1288" y="2905"/>
              <a:ext cx="118" cy="197"/>
            </a:xfrm>
            <a:custGeom>
              <a:avLst/>
              <a:gdLst>
                <a:gd name="T0" fmla="*/ 286 w 95"/>
                <a:gd name="T1" fmla="*/ 1269 h 160"/>
                <a:gd name="T2" fmla="*/ 256 w 95"/>
                <a:gd name="T3" fmla="*/ 1186 h 160"/>
                <a:gd name="T4" fmla="*/ 193 w 95"/>
                <a:gd name="T5" fmla="*/ 1116 h 160"/>
                <a:gd name="T6" fmla="*/ 168 w 95"/>
                <a:gd name="T7" fmla="*/ 1090 h 160"/>
                <a:gd name="T8" fmla="*/ 109 w 95"/>
                <a:gd name="T9" fmla="*/ 1090 h 160"/>
                <a:gd name="T10" fmla="*/ 96 w 95"/>
                <a:gd name="T11" fmla="*/ 1007 h 160"/>
                <a:gd name="T12" fmla="*/ 62 w 95"/>
                <a:gd name="T13" fmla="*/ 922 h 160"/>
                <a:gd name="T14" fmla="*/ 62 w 95"/>
                <a:gd name="T15" fmla="*/ 805 h 160"/>
                <a:gd name="T16" fmla="*/ 88 w 95"/>
                <a:gd name="T17" fmla="*/ 706 h 160"/>
                <a:gd name="T18" fmla="*/ 88 w 95"/>
                <a:gd name="T19" fmla="*/ 614 h 160"/>
                <a:gd name="T20" fmla="*/ 88 w 95"/>
                <a:gd name="T21" fmla="*/ 513 h 160"/>
                <a:gd name="T22" fmla="*/ 2 w 95"/>
                <a:gd name="T23" fmla="*/ 478 h 160"/>
                <a:gd name="T24" fmla="*/ 0 w 95"/>
                <a:gd name="T25" fmla="*/ 426 h 160"/>
                <a:gd name="T26" fmla="*/ 40 w 95"/>
                <a:gd name="T27" fmla="*/ 389 h 160"/>
                <a:gd name="T28" fmla="*/ 148 w 95"/>
                <a:gd name="T29" fmla="*/ 389 h 160"/>
                <a:gd name="T30" fmla="*/ 209 w 95"/>
                <a:gd name="T31" fmla="*/ 374 h 160"/>
                <a:gd name="T32" fmla="*/ 243 w 95"/>
                <a:gd name="T33" fmla="*/ 304 h 160"/>
                <a:gd name="T34" fmla="*/ 284 w 95"/>
                <a:gd name="T35" fmla="*/ 247 h 160"/>
                <a:gd name="T36" fmla="*/ 323 w 95"/>
                <a:gd name="T37" fmla="*/ 275 h 160"/>
                <a:gd name="T38" fmla="*/ 355 w 95"/>
                <a:gd name="T39" fmla="*/ 247 h 160"/>
                <a:gd name="T40" fmla="*/ 429 w 95"/>
                <a:gd name="T41" fmla="*/ 229 h 160"/>
                <a:gd name="T42" fmla="*/ 460 w 95"/>
                <a:gd name="T43" fmla="*/ 181 h 160"/>
                <a:gd name="T44" fmla="*/ 529 w 95"/>
                <a:gd name="T45" fmla="*/ 181 h 160"/>
                <a:gd name="T46" fmla="*/ 529 w 95"/>
                <a:gd name="T47" fmla="*/ 111 h 160"/>
                <a:gd name="T48" fmla="*/ 514 w 95"/>
                <a:gd name="T49" fmla="*/ 1 h 160"/>
                <a:gd name="T50" fmla="*/ 584 w 95"/>
                <a:gd name="T51" fmla="*/ 26 h 160"/>
                <a:gd name="T52" fmla="*/ 662 w 95"/>
                <a:gd name="T53" fmla="*/ 73 h 160"/>
                <a:gd name="T54" fmla="*/ 696 w 95"/>
                <a:gd name="T55" fmla="*/ 111 h 160"/>
                <a:gd name="T56" fmla="*/ 725 w 95"/>
                <a:gd name="T57" fmla="*/ 116 h 160"/>
                <a:gd name="T58" fmla="*/ 725 w 95"/>
                <a:gd name="T59" fmla="*/ 169 h 160"/>
                <a:gd name="T60" fmla="*/ 754 w 95"/>
                <a:gd name="T61" fmla="*/ 229 h 160"/>
                <a:gd name="T62" fmla="*/ 778 w 95"/>
                <a:gd name="T63" fmla="*/ 281 h 160"/>
                <a:gd name="T64" fmla="*/ 792 w 95"/>
                <a:gd name="T65" fmla="*/ 329 h 160"/>
                <a:gd name="T66" fmla="*/ 822 w 95"/>
                <a:gd name="T67" fmla="*/ 411 h 160"/>
                <a:gd name="T68" fmla="*/ 833 w 95"/>
                <a:gd name="T69" fmla="*/ 478 h 160"/>
                <a:gd name="T70" fmla="*/ 792 w 95"/>
                <a:gd name="T71" fmla="*/ 543 h 160"/>
                <a:gd name="T72" fmla="*/ 758 w 95"/>
                <a:gd name="T73" fmla="*/ 654 h 160"/>
                <a:gd name="T74" fmla="*/ 790 w 95"/>
                <a:gd name="T75" fmla="*/ 688 h 160"/>
                <a:gd name="T76" fmla="*/ 792 w 95"/>
                <a:gd name="T77" fmla="*/ 795 h 160"/>
                <a:gd name="T78" fmla="*/ 747 w 95"/>
                <a:gd name="T79" fmla="*/ 991 h 160"/>
                <a:gd name="T80" fmla="*/ 697 w 95"/>
                <a:gd name="T81" fmla="*/ 1056 h 160"/>
                <a:gd name="T82" fmla="*/ 662 w 95"/>
                <a:gd name="T83" fmla="*/ 1135 h 160"/>
                <a:gd name="T84" fmla="*/ 579 w 95"/>
                <a:gd name="T85" fmla="*/ 1149 h 160"/>
                <a:gd name="T86" fmla="*/ 473 w 95"/>
                <a:gd name="T87" fmla="*/ 1129 h 160"/>
                <a:gd name="T88" fmla="*/ 438 w 95"/>
                <a:gd name="T89" fmla="*/ 1100 h 160"/>
                <a:gd name="T90" fmla="*/ 401 w 95"/>
                <a:gd name="T91" fmla="*/ 1135 h 160"/>
                <a:gd name="T92" fmla="*/ 375 w 95"/>
                <a:gd name="T93" fmla="*/ 1205 h 160"/>
                <a:gd name="T94" fmla="*/ 302 w 95"/>
                <a:gd name="T95" fmla="*/ 1250 h 160"/>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0" t="0" r="r" b="b"/>
              <a:pathLst>
                <a:path w="95" h="160">
                  <a:moveTo>
                    <a:pt x="34" y="160"/>
                  </a:moveTo>
                  <a:lnTo>
                    <a:pt x="33" y="158"/>
                  </a:lnTo>
                  <a:lnTo>
                    <a:pt x="32" y="153"/>
                  </a:lnTo>
                  <a:lnTo>
                    <a:pt x="29" y="148"/>
                  </a:lnTo>
                  <a:lnTo>
                    <a:pt x="23" y="143"/>
                  </a:lnTo>
                  <a:lnTo>
                    <a:pt x="22" y="140"/>
                  </a:lnTo>
                  <a:lnTo>
                    <a:pt x="22" y="137"/>
                  </a:lnTo>
                  <a:lnTo>
                    <a:pt x="19" y="136"/>
                  </a:lnTo>
                  <a:lnTo>
                    <a:pt x="15" y="137"/>
                  </a:lnTo>
                  <a:lnTo>
                    <a:pt x="12" y="136"/>
                  </a:lnTo>
                  <a:lnTo>
                    <a:pt x="11" y="133"/>
                  </a:lnTo>
                  <a:lnTo>
                    <a:pt x="11" y="126"/>
                  </a:lnTo>
                  <a:lnTo>
                    <a:pt x="9" y="121"/>
                  </a:lnTo>
                  <a:lnTo>
                    <a:pt x="7" y="115"/>
                  </a:lnTo>
                  <a:lnTo>
                    <a:pt x="7" y="108"/>
                  </a:lnTo>
                  <a:lnTo>
                    <a:pt x="7" y="101"/>
                  </a:lnTo>
                  <a:lnTo>
                    <a:pt x="10" y="92"/>
                  </a:lnTo>
                  <a:lnTo>
                    <a:pt x="10" y="88"/>
                  </a:lnTo>
                  <a:lnTo>
                    <a:pt x="9" y="82"/>
                  </a:lnTo>
                  <a:lnTo>
                    <a:pt x="10" y="76"/>
                  </a:lnTo>
                  <a:lnTo>
                    <a:pt x="10" y="69"/>
                  </a:lnTo>
                  <a:lnTo>
                    <a:pt x="10" y="64"/>
                  </a:lnTo>
                  <a:lnTo>
                    <a:pt x="6" y="61"/>
                  </a:lnTo>
                  <a:lnTo>
                    <a:pt x="2" y="59"/>
                  </a:lnTo>
                  <a:lnTo>
                    <a:pt x="0" y="53"/>
                  </a:lnTo>
                  <a:lnTo>
                    <a:pt x="3" y="51"/>
                  </a:lnTo>
                  <a:lnTo>
                    <a:pt x="5" y="49"/>
                  </a:lnTo>
                  <a:lnTo>
                    <a:pt x="10" y="48"/>
                  </a:lnTo>
                  <a:lnTo>
                    <a:pt x="17" y="49"/>
                  </a:lnTo>
                  <a:lnTo>
                    <a:pt x="23" y="49"/>
                  </a:lnTo>
                  <a:lnTo>
                    <a:pt x="24" y="47"/>
                  </a:lnTo>
                  <a:lnTo>
                    <a:pt x="25" y="43"/>
                  </a:lnTo>
                  <a:lnTo>
                    <a:pt x="28" y="38"/>
                  </a:lnTo>
                  <a:lnTo>
                    <a:pt x="29" y="36"/>
                  </a:lnTo>
                  <a:lnTo>
                    <a:pt x="32" y="31"/>
                  </a:lnTo>
                  <a:lnTo>
                    <a:pt x="34" y="33"/>
                  </a:lnTo>
                  <a:lnTo>
                    <a:pt x="37" y="34"/>
                  </a:lnTo>
                  <a:lnTo>
                    <a:pt x="38" y="31"/>
                  </a:lnTo>
                  <a:lnTo>
                    <a:pt x="41" y="31"/>
                  </a:lnTo>
                  <a:lnTo>
                    <a:pt x="45" y="30"/>
                  </a:lnTo>
                  <a:lnTo>
                    <a:pt x="49" y="29"/>
                  </a:lnTo>
                  <a:lnTo>
                    <a:pt x="52" y="25"/>
                  </a:lnTo>
                  <a:lnTo>
                    <a:pt x="52" y="23"/>
                  </a:lnTo>
                  <a:lnTo>
                    <a:pt x="55" y="23"/>
                  </a:lnTo>
                  <a:lnTo>
                    <a:pt x="60" y="23"/>
                  </a:lnTo>
                  <a:lnTo>
                    <a:pt x="60" y="21"/>
                  </a:lnTo>
                  <a:lnTo>
                    <a:pt x="60" y="14"/>
                  </a:lnTo>
                  <a:lnTo>
                    <a:pt x="58" y="7"/>
                  </a:lnTo>
                  <a:lnTo>
                    <a:pt x="59" y="1"/>
                  </a:lnTo>
                  <a:lnTo>
                    <a:pt x="63" y="0"/>
                  </a:lnTo>
                  <a:lnTo>
                    <a:pt x="67" y="3"/>
                  </a:lnTo>
                  <a:lnTo>
                    <a:pt x="72" y="8"/>
                  </a:lnTo>
                  <a:lnTo>
                    <a:pt x="76" y="9"/>
                  </a:lnTo>
                  <a:lnTo>
                    <a:pt x="78" y="12"/>
                  </a:lnTo>
                  <a:lnTo>
                    <a:pt x="79" y="14"/>
                  </a:lnTo>
                  <a:lnTo>
                    <a:pt x="81" y="15"/>
                  </a:lnTo>
                  <a:lnTo>
                    <a:pt x="83" y="15"/>
                  </a:lnTo>
                  <a:lnTo>
                    <a:pt x="84" y="17"/>
                  </a:lnTo>
                  <a:lnTo>
                    <a:pt x="83" y="21"/>
                  </a:lnTo>
                  <a:lnTo>
                    <a:pt x="84" y="27"/>
                  </a:lnTo>
                  <a:lnTo>
                    <a:pt x="86" y="29"/>
                  </a:lnTo>
                  <a:lnTo>
                    <a:pt x="91" y="31"/>
                  </a:lnTo>
                  <a:lnTo>
                    <a:pt x="89" y="35"/>
                  </a:lnTo>
                  <a:lnTo>
                    <a:pt x="89" y="37"/>
                  </a:lnTo>
                  <a:lnTo>
                    <a:pt x="91" y="41"/>
                  </a:lnTo>
                  <a:lnTo>
                    <a:pt x="93" y="45"/>
                  </a:lnTo>
                  <a:lnTo>
                    <a:pt x="94" y="51"/>
                  </a:lnTo>
                  <a:lnTo>
                    <a:pt x="95" y="56"/>
                  </a:lnTo>
                  <a:lnTo>
                    <a:pt x="95" y="59"/>
                  </a:lnTo>
                  <a:lnTo>
                    <a:pt x="94" y="63"/>
                  </a:lnTo>
                  <a:lnTo>
                    <a:pt x="91" y="68"/>
                  </a:lnTo>
                  <a:lnTo>
                    <a:pt x="88" y="74"/>
                  </a:lnTo>
                  <a:lnTo>
                    <a:pt x="87" y="82"/>
                  </a:lnTo>
                  <a:lnTo>
                    <a:pt x="89" y="86"/>
                  </a:lnTo>
                  <a:lnTo>
                    <a:pt x="90" y="86"/>
                  </a:lnTo>
                  <a:lnTo>
                    <a:pt x="91" y="94"/>
                  </a:lnTo>
                  <a:lnTo>
                    <a:pt x="91" y="99"/>
                  </a:lnTo>
                  <a:lnTo>
                    <a:pt x="90" y="110"/>
                  </a:lnTo>
                  <a:lnTo>
                    <a:pt x="85" y="124"/>
                  </a:lnTo>
                  <a:lnTo>
                    <a:pt x="83" y="129"/>
                  </a:lnTo>
                  <a:lnTo>
                    <a:pt x="80" y="132"/>
                  </a:lnTo>
                  <a:lnTo>
                    <a:pt x="78" y="137"/>
                  </a:lnTo>
                  <a:lnTo>
                    <a:pt x="76" y="142"/>
                  </a:lnTo>
                  <a:lnTo>
                    <a:pt x="70" y="144"/>
                  </a:lnTo>
                  <a:lnTo>
                    <a:pt x="66" y="144"/>
                  </a:lnTo>
                  <a:lnTo>
                    <a:pt x="60" y="142"/>
                  </a:lnTo>
                  <a:lnTo>
                    <a:pt x="55" y="141"/>
                  </a:lnTo>
                  <a:lnTo>
                    <a:pt x="52" y="139"/>
                  </a:lnTo>
                  <a:lnTo>
                    <a:pt x="50" y="137"/>
                  </a:lnTo>
                  <a:lnTo>
                    <a:pt x="46" y="138"/>
                  </a:lnTo>
                  <a:lnTo>
                    <a:pt x="46" y="142"/>
                  </a:lnTo>
                  <a:lnTo>
                    <a:pt x="46" y="147"/>
                  </a:lnTo>
                  <a:lnTo>
                    <a:pt x="43" y="150"/>
                  </a:lnTo>
                  <a:lnTo>
                    <a:pt x="40" y="153"/>
                  </a:lnTo>
                  <a:lnTo>
                    <a:pt x="35" y="156"/>
                  </a:lnTo>
                  <a:lnTo>
                    <a:pt x="34" y="160"/>
                  </a:lnTo>
                  <a:close/>
                </a:path>
              </a:pathLst>
            </a:custGeom>
            <a:solidFill>
              <a:schemeClr val="accent4">
                <a:lumMod val="60000"/>
                <a:lumOff val="4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48" name="Freeform 32" descr="右下がり対角線 (太)">
              <a:extLst>
                <a:ext uri="{FF2B5EF4-FFF2-40B4-BE49-F238E27FC236}">
                  <a16:creationId xmlns:a16="http://schemas.microsoft.com/office/drawing/2014/main" id="{00000000-0008-0000-0900-00002C7E1200}"/>
                </a:ext>
              </a:extLst>
            </xdr:cNvPr>
            <xdr:cNvSpPr>
              <a:spLocks noChangeAspect="1"/>
            </xdr:cNvSpPr>
          </xdr:nvSpPr>
          <xdr:spPr bwMode="auto">
            <a:xfrm rot="238154">
              <a:off x="1133" y="2874"/>
              <a:ext cx="198" cy="232"/>
            </a:xfrm>
            <a:custGeom>
              <a:avLst/>
              <a:gdLst>
                <a:gd name="T0" fmla="*/ 1262 w 161"/>
                <a:gd name="T1" fmla="*/ 1512 h 188"/>
                <a:gd name="T2" fmla="*/ 1184 w 161"/>
                <a:gd name="T3" fmla="*/ 1501 h 188"/>
                <a:gd name="T4" fmla="*/ 1074 w 161"/>
                <a:gd name="T5" fmla="*/ 1540 h 188"/>
                <a:gd name="T6" fmla="*/ 976 w 161"/>
                <a:gd name="T7" fmla="*/ 1508 h 188"/>
                <a:gd name="T8" fmla="*/ 920 w 161"/>
                <a:gd name="T9" fmla="*/ 1360 h 188"/>
                <a:gd name="T10" fmla="*/ 889 w 161"/>
                <a:gd name="T11" fmla="*/ 1286 h 188"/>
                <a:gd name="T12" fmla="*/ 834 w 161"/>
                <a:gd name="T13" fmla="*/ 1197 h 188"/>
                <a:gd name="T14" fmla="*/ 778 w 161"/>
                <a:gd name="T15" fmla="*/ 1122 h 188"/>
                <a:gd name="T16" fmla="*/ 748 w 161"/>
                <a:gd name="T17" fmla="*/ 1162 h 188"/>
                <a:gd name="T18" fmla="*/ 680 w 161"/>
                <a:gd name="T19" fmla="*/ 1158 h 188"/>
                <a:gd name="T20" fmla="*/ 633 w 161"/>
                <a:gd name="T21" fmla="*/ 1054 h 188"/>
                <a:gd name="T22" fmla="*/ 507 w 161"/>
                <a:gd name="T23" fmla="*/ 969 h 188"/>
                <a:gd name="T24" fmla="*/ 439 w 161"/>
                <a:gd name="T25" fmla="*/ 902 h 188"/>
                <a:gd name="T26" fmla="*/ 389 w 161"/>
                <a:gd name="T27" fmla="*/ 844 h 188"/>
                <a:gd name="T28" fmla="*/ 316 w 161"/>
                <a:gd name="T29" fmla="*/ 819 h 188"/>
                <a:gd name="T30" fmla="*/ 277 w 161"/>
                <a:gd name="T31" fmla="*/ 710 h 188"/>
                <a:gd name="T32" fmla="*/ 199 w 161"/>
                <a:gd name="T33" fmla="*/ 737 h 188"/>
                <a:gd name="T34" fmla="*/ 162 w 161"/>
                <a:gd name="T35" fmla="*/ 671 h 188"/>
                <a:gd name="T36" fmla="*/ 75 w 161"/>
                <a:gd name="T37" fmla="*/ 636 h 188"/>
                <a:gd name="T38" fmla="*/ 75 w 161"/>
                <a:gd name="T39" fmla="*/ 508 h 188"/>
                <a:gd name="T40" fmla="*/ 113 w 161"/>
                <a:gd name="T41" fmla="*/ 487 h 188"/>
                <a:gd name="T42" fmla="*/ 171 w 161"/>
                <a:gd name="T43" fmla="*/ 501 h 188"/>
                <a:gd name="T44" fmla="*/ 199 w 161"/>
                <a:gd name="T45" fmla="*/ 370 h 188"/>
                <a:gd name="T46" fmla="*/ 168 w 161"/>
                <a:gd name="T47" fmla="*/ 315 h 188"/>
                <a:gd name="T48" fmla="*/ 61 w 161"/>
                <a:gd name="T49" fmla="*/ 315 h 188"/>
                <a:gd name="T50" fmla="*/ 0 w 161"/>
                <a:gd name="T51" fmla="*/ 247 h 188"/>
                <a:gd name="T52" fmla="*/ 2 w 161"/>
                <a:gd name="T53" fmla="*/ 136 h 188"/>
                <a:gd name="T54" fmla="*/ 92 w 161"/>
                <a:gd name="T55" fmla="*/ 110 h 188"/>
                <a:gd name="T56" fmla="*/ 229 w 161"/>
                <a:gd name="T57" fmla="*/ 1 h 188"/>
                <a:gd name="T58" fmla="*/ 419 w 161"/>
                <a:gd name="T59" fmla="*/ 1 h 188"/>
                <a:gd name="T60" fmla="*/ 526 w 161"/>
                <a:gd name="T61" fmla="*/ 151 h 188"/>
                <a:gd name="T62" fmla="*/ 427 w 161"/>
                <a:gd name="T63" fmla="*/ 315 h 188"/>
                <a:gd name="T64" fmla="*/ 614 w 161"/>
                <a:gd name="T65" fmla="*/ 255 h 188"/>
                <a:gd name="T66" fmla="*/ 689 w 161"/>
                <a:gd name="T67" fmla="*/ 274 h 188"/>
                <a:gd name="T68" fmla="*/ 703 w 161"/>
                <a:gd name="T69" fmla="*/ 457 h 188"/>
                <a:gd name="T70" fmla="*/ 794 w 161"/>
                <a:gd name="T71" fmla="*/ 592 h 188"/>
                <a:gd name="T72" fmla="*/ 906 w 161"/>
                <a:gd name="T73" fmla="*/ 621 h 188"/>
                <a:gd name="T74" fmla="*/ 1005 w 161"/>
                <a:gd name="T75" fmla="*/ 592 h 188"/>
                <a:gd name="T76" fmla="*/ 1086 w 161"/>
                <a:gd name="T77" fmla="*/ 675 h 188"/>
                <a:gd name="T78" fmla="*/ 1074 w 161"/>
                <a:gd name="T79" fmla="*/ 828 h 188"/>
                <a:gd name="T80" fmla="*/ 1064 w 161"/>
                <a:gd name="T81" fmla="*/ 985 h 188"/>
                <a:gd name="T82" fmla="*/ 1074 w 161"/>
                <a:gd name="T83" fmla="*/ 1148 h 188"/>
                <a:gd name="T84" fmla="*/ 1098 w 161"/>
                <a:gd name="T85" fmla="*/ 1269 h 188"/>
                <a:gd name="T86" fmla="*/ 1177 w 161"/>
                <a:gd name="T87" fmla="*/ 1282 h 188"/>
                <a:gd name="T88" fmla="*/ 1236 w 161"/>
                <a:gd name="T89" fmla="*/ 1360 h 188"/>
                <a:gd name="T90" fmla="*/ 1277 w 161"/>
                <a:gd name="T91" fmla="*/ 1469 h 188"/>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0" t="0" r="r" b="b"/>
              <a:pathLst>
                <a:path w="161" h="188">
                  <a:moveTo>
                    <a:pt x="161" y="179"/>
                  </a:moveTo>
                  <a:lnTo>
                    <a:pt x="161" y="182"/>
                  </a:lnTo>
                  <a:lnTo>
                    <a:pt x="159" y="185"/>
                  </a:lnTo>
                  <a:lnTo>
                    <a:pt x="156" y="185"/>
                  </a:lnTo>
                  <a:lnTo>
                    <a:pt x="153" y="183"/>
                  </a:lnTo>
                  <a:lnTo>
                    <a:pt x="150" y="183"/>
                  </a:lnTo>
                  <a:lnTo>
                    <a:pt x="145" y="185"/>
                  </a:lnTo>
                  <a:lnTo>
                    <a:pt x="140" y="188"/>
                  </a:lnTo>
                  <a:lnTo>
                    <a:pt x="136" y="188"/>
                  </a:lnTo>
                  <a:lnTo>
                    <a:pt x="130" y="184"/>
                  </a:lnTo>
                  <a:lnTo>
                    <a:pt x="126" y="183"/>
                  </a:lnTo>
                  <a:lnTo>
                    <a:pt x="123" y="184"/>
                  </a:lnTo>
                  <a:lnTo>
                    <a:pt x="115" y="176"/>
                  </a:lnTo>
                  <a:lnTo>
                    <a:pt x="116" y="172"/>
                  </a:lnTo>
                  <a:lnTo>
                    <a:pt x="116" y="167"/>
                  </a:lnTo>
                  <a:lnTo>
                    <a:pt x="115" y="164"/>
                  </a:lnTo>
                  <a:lnTo>
                    <a:pt x="113" y="160"/>
                  </a:lnTo>
                  <a:lnTo>
                    <a:pt x="112" y="157"/>
                  </a:lnTo>
                  <a:lnTo>
                    <a:pt x="110" y="154"/>
                  </a:lnTo>
                  <a:lnTo>
                    <a:pt x="108" y="150"/>
                  </a:lnTo>
                  <a:lnTo>
                    <a:pt x="105" y="147"/>
                  </a:lnTo>
                  <a:lnTo>
                    <a:pt x="103" y="145"/>
                  </a:lnTo>
                  <a:lnTo>
                    <a:pt x="101" y="138"/>
                  </a:lnTo>
                  <a:lnTo>
                    <a:pt x="98" y="137"/>
                  </a:lnTo>
                  <a:lnTo>
                    <a:pt x="96" y="137"/>
                  </a:lnTo>
                  <a:lnTo>
                    <a:pt x="93" y="139"/>
                  </a:lnTo>
                  <a:lnTo>
                    <a:pt x="94" y="142"/>
                  </a:lnTo>
                  <a:lnTo>
                    <a:pt x="92" y="143"/>
                  </a:lnTo>
                  <a:lnTo>
                    <a:pt x="88" y="142"/>
                  </a:lnTo>
                  <a:lnTo>
                    <a:pt x="86" y="141"/>
                  </a:lnTo>
                  <a:lnTo>
                    <a:pt x="83" y="137"/>
                  </a:lnTo>
                  <a:lnTo>
                    <a:pt x="83" y="133"/>
                  </a:lnTo>
                  <a:lnTo>
                    <a:pt x="80" y="129"/>
                  </a:lnTo>
                  <a:lnTo>
                    <a:pt x="77" y="126"/>
                  </a:lnTo>
                  <a:lnTo>
                    <a:pt x="64" y="119"/>
                  </a:lnTo>
                  <a:lnTo>
                    <a:pt x="64" y="118"/>
                  </a:lnTo>
                  <a:lnTo>
                    <a:pt x="62" y="113"/>
                  </a:lnTo>
                  <a:lnTo>
                    <a:pt x="60" y="111"/>
                  </a:lnTo>
                  <a:lnTo>
                    <a:pt x="55" y="110"/>
                  </a:lnTo>
                  <a:lnTo>
                    <a:pt x="51" y="108"/>
                  </a:lnTo>
                  <a:lnTo>
                    <a:pt x="51" y="104"/>
                  </a:lnTo>
                  <a:lnTo>
                    <a:pt x="49" y="103"/>
                  </a:lnTo>
                  <a:lnTo>
                    <a:pt x="46" y="104"/>
                  </a:lnTo>
                  <a:lnTo>
                    <a:pt x="43" y="103"/>
                  </a:lnTo>
                  <a:lnTo>
                    <a:pt x="40" y="100"/>
                  </a:lnTo>
                  <a:lnTo>
                    <a:pt x="40" y="96"/>
                  </a:lnTo>
                  <a:lnTo>
                    <a:pt x="39" y="90"/>
                  </a:lnTo>
                  <a:lnTo>
                    <a:pt x="35" y="87"/>
                  </a:lnTo>
                  <a:lnTo>
                    <a:pt x="32" y="87"/>
                  </a:lnTo>
                  <a:lnTo>
                    <a:pt x="28" y="89"/>
                  </a:lnTo>
                  <a:lnTo>
                    <a:pt x="25" y="90"/>
                  </a:lnTo>
                  <a:lnTo>
                    <a:pt x="22" y="89"/>
                  </a:lnTo>
                  <a:lnTo>
                    <a:pt x="21" y="85"/>
                  </a:lnTo>
                  <a:lnTo>
                    <a:pt x="20" y="82"/>
                  </a:lnTo>
                  <a:lnTo>
                    <a:pt x="17" y="80"/>
                  </a:lnTo>
                  <a:lnTo>
                    <a:pt x="13" y="80"/>
                  </a:lnTo>
                  <a:lnTo>
                    <a:pt x="10" y="78"/>
                  </a:lnTo>
                  <a:lnTo>
                    <a:pt x="8" y="75"/>
                  </a:lnTo>
                  <a:lnTo>
                    <a:pt x="9" y="68"/>
                  </a:lnTo>
                  <a:lnTo>
                    <a:pt x="10" y="62"/>
                  </a:lnTo>
                  <a:lnTo>
                    <a:pt x="11" y="59"/>
                  </a:lnTo>
                  <a:lnTo>
                    <a:pt x="13" y="59"/>
                  </a:lnTo>
                  <a:lnTo>
                    <a:pt x="15" y="60"/>
                  </a:lnTo>
                  <a:lnTo>
                    <a:pt x="17" y="62"/>
                  </a:lnTo>
                  <a:lnTo>
                    <a:pt x="18" y="62"/>
                  </a:lnTo>
                  <a:lnTo>
                    <a:pt x="22" y="61"/>
                  </a:lnTo>
                  <a:lnTo>
                    <a:pt x="23" y="60"/>
                  </a:lnTo>
                  <a:lnTo>
                    <a:pt x="24" y="55"/>
                  </a:lnTo>
                  <a:lnTo>
                    <a:pt x="25" y="45"/>
                  </a:lnTo>
                  <a:lnTo>
                    <a:pt x="24" y="39"/>
                  </a:lnTo>
                  <a:lnTo>
                    <a:pt x="23" y="38"/>
                  </a:lnTo>
                  <a:lnTo>
                    <a:pt x="21" y="38"/>
                  </a:lnTo>
                  <a:lnTo>
                    <a:pt x="12" y="40"/>
                  </a:lnTo>
                  <a:lnTo>
                    <a:pt x="10" y="40"/>
                  </a:lnTo>
                  <a:lnTo>
                    <a:pt x="8" y="38"/>
                  </a:lnTo>
                  <a:lnTo>
                    <a:pt x="7" y="36"/>
                  </a:lnTo>
                  <a:lnTo>
                    <a:pt x="1" y="33"/>
                  </a:lnTo>
                  <a:lnTo>
                    <a:pt x="0" y="30"/>
                  </a:lnTo>
                  <a:lnTo>
                    <a:pt x="0" y="25"/>
                  </a:lnTo>
                  <a:lnTo>
                    <a:pt x="1" y="22"/>
                  </a:lnTo>
                  <a:lnTo>
                    <a:pt x="2" y="16"/>
                  </a:lnTo>
                  <a:lnTo>
                    <a:pt x="7" y="18"/>
                  </a:lnTo>
                  <a:lnTo>
                    <a:pt x="12" y="16"/>
                  </a:lnTo>
                  <a:lnTo>
                    <a:pt x="12" y="13"/>
                  </a:lnTo>
                  <a:lnTo>
                    <a:pt x="11" y="8"/>
                  </a:lnTo>
                  <a:lnTo>
                    <a:pt x="14" y="5"/>
                  </a:lnTo>
                  <a:lnTo>
                    <a:pt x="29" y="1"/>
                  </a:lnTo>
                  <a:lnTo>
                    <a:pt x="33" y="0"/>
                  </a:lnTo>
                  <a:lnTo>
                    <a:pt x="47" y="0"/>
                  </a:lnTo>
                  <a:lnTo>
                    <a:pt x="53" y="1"/>
                  </a:lnTo>
                  <a:lnTo>
                    <a:pt x="65" y="10"/>
                  </a:lnTo>
                  <a:lnTo>
                    <a:pt x="68" y="15"/>
                  </a:lnTo>
                  <a:lnTo>
                    <a:pt x="67" y="19"/>
                  </a:lnTo>
                  <a:lnTo>
                    <a:pt x="63" y="24"/>
                  </a:lnTo>
                  <a:lnTo>
                    <a:pt x="53" y="30"/>
                  </a:lnTo>
                  <a:lnTo>
                    <a:pt x="54" y="38"/>
                  </a:lnTo>
                  <a:lnTo>
                    <a:pt x="60" y="42"/>
                  </a:lnTo>
                  <a:lnTo>
                    <a:pt x="70" y="37"/>
                  </a:lnTo>
                  <a:lnTo>
                    <a:pt x="77" y="31"/>
                  </a:lnTo>
                  <a:lnTo>
                    <a:pt x="79" y="26"/>
                  </a:lnTo>
                  <a:lnTo>
                    <a:pt x="84" y="32"/>
                  </a:lnTo>
                  <a:lnTo>
                    <a:pt x="87" y="33"/>
                  </a:lnTo>
                  <a:lnTo>
                    <a:pt x="86" y="42"/>
                  </a:lnTo>
                  <a:lnTo>
                    <a:pt x="88" y="50"/>
                  </a:lnTo>
                  <a:lnTo>
                    <a:pt x="89" y="56"/>
                  </a:lnTo>
                  <a:lnTo>
                    <a:pt x="94" y="65"/>
                  </a:lnTo>
                  <a:lnTo>
                    <a:pt x="96" y="70"/>
                  </a:lnTo>
                  <a:lnTo>
                    <a:pt x="100" y="72"/>
                  </a:lnTo>
                  <a:lnTo>
                    <a:pt x="106" y="75"/>
                  </a:lnTo>
                  <a:lnTo>
                    <a:pt x="111" y="74"/>
                  </a:lnTo>
                  <a:lnTo>
                    <a:pt x="115" y="76"/>
                  </a:lnTo>
                  <a:lnTo>
                    <a:pt x="119" y="77"/>
                  </a:lnTo>
                  <a:lnTo>
                    <a:pt x="123" y="75"/>
                  </a:lnTo>
                  <a:lnTo>
                    <a:pt x="127" y="72"/>
                  </a:lnTo>
                  <a:lnTo>
                    <a:pt x="129" y="78"/>
                  </a:lnTo>
                  <a:lnTo>
                    <a:pt x="133" y="80"/>
                  </a:lnTo>
                  <a:lnTo>
                    <a:pt x="137" y="83"/>
                  </a:lnTo>
                  <a:lnTo>
                    <a:pt x="137" y="88"/>
                  </a:lnTo>
                  <a:lnTo>
                    <a:pt x="137" y="95"/>
                  </a:lnTo>
                  <a:lnTo>
                    <a:pt x="136" y="101"/>
                  </a:lnTo>
                  <a:lnTo>
                    <a:pt x="137" y="107"/>
                  </a:lnTo>
                  <a:lnTo>
                    <a:pt x="137" y="111"/>
                  </a:lnTo>
                  <a:lnTo>
                    <a:pt x="134" y="120"/>
                  </a:lnTo>
                  <a:lnTo>
                    <a:pt x="134" y="127"/>
                  </a:lnTo>
                  <a:lnTo>
                    <a:pt x="134" y="134"/>
                  </a:lnTo>
                  <a:lnTo>
                    <a:pt x="136" y="140"/>
                  </a:lnTo>
                  <a:lnTo>
                    <a:pt x="138" y="145"/>
                  </a:lnTo>
                  <a:lnTo>
                    <a:pt x="138" y="152"/>
                  </a:lnTo>
                  <a:lnTo>
                    <a:pt x="139" y="155"/>
                  </a:lnTo>
                  <a:lnTo>
                    <a:pt x="142" y="156"/>
                  </a:lnTo>
                  <a:lnTo>
                    <a:pt x="146" y="155"/>
                  </a:lnTo>
                  <a:lnTo>
                    <a:pt x="149" y="156"/>
                  </a:lnTo>
                  <a:lnTo>
                    <a:pt x="149" y="159"/>
                  </a:lnTo>
                  <a:lnTo>
                    <a:pt x="150" y="162"/>
                  </a:lnTo>
                  <a:lnTo>
                    <a:pt x="156" y="167"/>
                  </a:lnTo>
                  <a:lnTo>
                    <a:pt x="159" y="172"/>
                  </a:lnTo>
                  <a:lnTo>
                    <a:pt x="160" y="177"/>
                  </a:lnTo>
                  <a:lnTo>
                    <a:pt x="161" y="179"/>
                  </a:lnTo>
                  <a:close/>
                </a:path>
              </a:pathLst>
            </a:custGeom>
            <a:solidFill>
              <a:schemeClr val="accent4">
                <a:lumMod val="60000"/>
                <a:lumOff val="4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49" name="Freeform 33" descr="右下がり対角線 (太)">
              <a:extLst>
                <a:ext uri="{FF2B5EF4-FFF2-40B4-BE49-F238E27FC236}">
                  <a16:creationId xmlns:a16="http://schemas.microsoft.com/office/drawing/2014/main" id="{00000000-0008-0000-0900-00002D7E1200}"/>
                </a:ext>
              </a:extLst>
            </xdr:cNvPr>
            <xdr:cNvSpPr>
              <a:spLocks noChangeAspect="1"/>
            </xdr:cNvSpPr>
          </xdr:nvSpPr>
          <xdr:spPr bwMode="auto">
            <a:xfrm rot="238154">
              <a:off x="1142" y="3019"/>
              <a:ext cx="126" cy="166"/>
            </a:xfrm>
            <a:custGeom>
              <a:avLst/>
              <a:gdLst>
                <a:gd name="T0" fmla="*/ 0 w 102"/>
                <a:gd name="T1" fmla="*/ 1106 h 134"/>
                <a:gd name="T2" fmla="*/ 75 w 102"/>
                <a:gd name="T3" fmla="*/ 1043 h 134"/>
                <a:gd name="T4" fmla="*/ 200 w 102"/>
                <a:gd name="T5" fmla="*/ 1001 h 134"/>
                <a:gd name="T6" fmla="*/ 346 w 102"/>
                <a:gd name="T7" fmla="*/ 888 h 134"/>
                <a:gd name="T8" fmla="*/ 466 w 102"/>
                <a:gd name="T9" fmla="*/ 699 h 134"/>
                <a:gd name="T10" fmla="*/ 464 w 102"/>
                <a:gd name="T11" fmla="*/ 619 h 134"/>
                <a:gd name="T12" fmla="*/ 487 w 102"/>
                <a:gd name="T13" fmla="*/ 541 h 134"/>
                <a:gd name="T14" fmla="*/ 488 w 102"/>
                <a:gd name="T15" fmla="*/ 467 h 134"/>
                <a:gd name="T16" fmla="*/ 466 w 102"/>
                <a:gd name="T17" fmla="*/ 396 h 134"/>
                <a:gd name="T18" fmla="*/ 488 w 102"/>
                <a:gd name="T19" fmla="*/ 326 h 134"/>
                <a:gd name="T20" fmla="*/ 488 w 102"/>
                <a:gd name="T21" fmla="*/ 258 h 134"/>
                <a:gd name="T22" fmla="*/ 394 w 102"/>
                <a:gd name="T23" fmla="*/ 185 h 134"/>
                <a:gd name="T24" fmla="*/ 408 w 102"/>
                <a:gd name="T25" fmla="*/ 146 h 134"/>
                <a:gd name="T26" fmla="*/ 392 w 102"/>
                <a:gd name="T27" fmla="*/ 71 h 134"/>
                <a:gd name="T28" fmla="*/ 416 w 102"/>
                <a:gd name="T29" fmla="*/ 0 h 134"/>
                <a:gd name="T30" fmla="*/ 524 w 102"/>
                <a:gd name="T31" fmla="*/ 62 h 134"/>
                <a:gd name="T32" fmla="*/ 573 w 102"/>
                <a:gd name="T33" fmla="*/ 118 h 134"/>
                <a:gd name="T34" fmla="*/ 598 w 102"/>
                <a:gd name="T35" fmla="*/ 185 h 134"/>
                <a:gd name="T36" fmla="*/ 647 w 102"/>
                <a:gd name="T37" fmla="*/ 207 h 134"/>
                <a:gd name="T38" fmla="*/ 651 w 102"/>
                <a:gd name="T39" fmla="*/ 168 h 134"/>
                <a:gd name="T40" fmla="*/ 694 w 102"/>
                <a:gd name="T41" fmla="*/ 149 h 134"/>
                <a:gd name="T42" fmla="*/ 739 w 102"/>
                <a:gd name="T43" fmla="*/ 224 h 134"/>
                <a:gd name="T44" fmla="*/ 779 w 102"/>
                <a:gd name="T45" fmla="*/ 258 h 134"/>
                <a:gd name="T46" fmla="*/ 804 w 102"/>
                <a:gd name="T47" fmla="*/ 320 h 134"/>
                <a:gd name="T48" fmla="*/ 833 w 102"/>
                <a:gd name="T49" fmla="*/ 379 h 134"/>
                <a:gd name="T50" fmla="*/ 844 w 102"/>
                <a:gd name="T51" fmla="*/ 455 h 134"/>
                <a:gd name="T52" fmla="*/ 799 w 102"/>
                <a:gd name="T53" fmla="*/ 467 h 134"/>
                <a:gd name="T54" fmla="*/ 784 w 102"/>
                <a:gd name="T55" fmla="*/ 512 h 134"/>
                <a:gd name="T56" fmla="*/ 745 w 102"/>
                <a:gd name="T57" fmla="*/ 608 h 134"/>
                <a:gd name="T58" fmla="*/ 770 w 102"/>
                <a:gd name="T59" fmla="*/ 711 h 134"/>
                <a:gd name="T60" fmla="*/ 766 w 102"/>
                <a:gd name="T61" fmla="*/ 772 h 134"/>
                <a:gd name="T62" fmla="*/ 766 w 102"/>
                <a:gd name="T63" fmla="*/ 860 h 134"/>
                <a:gd name="T64" fmla="*/ 745 w 102"/>
                <a:gd name="T65" fmla="*/ 956 h 134"/>
                <a:gd name="T66" fmla="*/ 672 w 102"/>
                <a:gd name="T67" fmla="*/ 1001 h 134"/>
                <a:gd name="T68" fmla="*/ 598 w 102"/>
                <a:gd name="T69" fmla="*/ 1027 h 134"/>
                <a:gd name="T70" fmla="*/ 527 w 102"/>
                <a:gd name="T71" fmla="*/ 1065 h 134"/>
                <a:gd name="T72" fmla="*/ 455 w 102"/>
                <a:gd name="T73" fmla="*/ 1073 h 134"/>
                <a:gd name="T74" fmla="*/ 394 w 102"/>
                <a:gd name="T75" fmla="*/ 1065 h 134"/>
                <a:gd name="T76" fmla="*/ 346 w 102"/>
                <a:gd name="T77" fmla="*/ 1106 h 134"/>
                <a:gd name="T78" fmla="*/ 247 w 102"/>
                <a:gd name="T79" fmla="*/ 1106 h 134"/>
                <a:gd name="T80" fmla="*/ 182 w 102"/>
                <a:gd name="T81" fmla="*/ 1140 h 134"/>
                <a:gd name="T82" fmla="*/ 93 w 102"/>
                <a:gd name="T83" fmla="*/ 1132 h 134"/>
                <a:gd name="T84" fmla="*/ 0 w 102"/>
                <a:gd name="T85" fmla="*/ 1114 h 13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102" h="134">
                  <a:moveTo>
                    <a:pt x="0" y="131"/>
                  </a:moveTo>
                  <a:lnTo>
                    <a:pt x="0" y="130"/>
                  </a:lnTo>
                  <a:lnTo>
                    <a:pt x="6" y="126"/>
                  </a:lnTo>
                  <a:lnTo>
                    <a:pt x="9" y="123"/>
                  </a:lnTo>
                  <a:lnTo>
                    <a:pt x="14" y="121"/>
                  </a:lnTo>
                  <a:lnTo>
                    <a:pt x="24" y="118"/>
                  </a:lnTo>
                  <a:lnTo>
                    <a:pt x="33" y="111"/>
                  </a:lnTo>
                  <a:lnTo>
                    <a:pt x="42" y="104"/>
                  </a:lnTo>
                  <a:lnTo>
                    <a:pt x="49" y="93"/>
                  </a:lnTo>
                  <a:lnTo>
                    <a:pt x="57" y="82"/>
                  </a:lnTo>
                  <a:lnTo>
                    <a:pt x="58" y="77"/>
                  </a:lnTo>
                  <a:lnTo>
                    <a:pt x="56" y="73"/>
                  </a:lnTo>
                  <a:lnTo>
                    <a:pt x="59" y="68"/>
                  </a:lnTo>
                  <a:lnTo>
                    <a:pt x="59" y="64"/>
                  </a:lnTo>
                  <a:lnTo>
                    <a:pt x="60" y="60"/>
                  </a:lnTo>
                  <a:lnTo>
                    <a:pt x="60" y="55"/>
                  </a:lnTo>
                  <a:lnTo>
                    <a:pt x="59" y="51"/>
                  </a:lnTo>
                  <a:lnTo>
                    <a:pt x="57" y="47"/>
                  </a:lnTo>
                  <a:lnTo>
                    <a:pt x="58" y="44"/>
                  </a:lnTo>
                  <a:lnTo>
                    <a:pt x="60" y="39"/>
                  </a:lnTo>
                  <a:lnTo>
                    <a:pt x="60" y="36"/>
                  </a:lnTo>
                  <a:lnTo>
                    <a:pt x="60" y="31"/>
                  </a:lnTo>
                  <a:lnTo>
                    <a:pt x="56" y="27"/>
                  </a:lnTo>
                  <a:lnTo>
                    <a:pt x="48" y="22"/>
                  </a:lnTo>
                  <a:lnTo>
                    <a:pt x="48" y="19"/>
                  </a:lnTo>
                  <a:lnTo>
                    <a:pt x="49" y="17"/>
                  </a:lnTo>
                  <a:lnTo>
                    <a:pt x="47" y="10"/>
                  </a:lnTo>
                  <a:lnTo>
                    <a:pt x="47" y="8"/>
                  </a:lnTo>
                  <a:lnTo>
                    <a:pt x="50" y="6"/>
                  </a:lnTo>
                  <a:lnTo>
                    <a:pt x="50" y="0"/>
                  </a:lnTo>
                  <a:lnTo>
                    <a:pt x="63" y="7"/>
                  </a:lnTo>
                  <a:lnTo>
                    <a:pt x="66" y="10"/>
                  </a:lnTo>
                  <a:lnTo>
                    <a:pt x="69" y="14"/>
                  </a:lnTo>
                  <a:lnTo>
                    <a:pt x="69" y="18"/>
                  </a:lnTo>
                  <a:lnTo>
                    <a:pt x="72" y="22"/>
                  </a:lnTo>
                  <a:lnTo>
                    <a:pt x="74" y="23"/>
                  </a:lnTo>
                  <a:lnTo>
                    <a:pt x="78" y="24"/>
                  </a:lnTo>
                  <a:lnTo>
                    <a:pt x="80" y="23"/>
                  </a:lnTo>
                  <a:lnTo>
                    <a:pt x="79" y="20"/>
                  </a:lnTo>
                  <a:lnTo>
                    <a:pt x="82" y="18"/>
                  </a:lnTo>
                  <a:lnTo>
                    <a:pt x="84" y="18"/>
                  </a:lnTo>
                  <a:lnTo>
                    <a:pt x="87" y="19"/>
                  </a:lnTo>
                  <a:lnTo>
                    <a:pt x="89" y="26"/>
                  </a:lnTo>
                  <a:lnTo>
                    <a:pt x="91" y="28"/>
                  </a:lnTo>
                  <a:lnTo>
                    <a:pt x="94" y="31"/>
                  </a:lnTo>
                  <a:lnTo>
                    <a:pt x="96" y="35"/>
                  </a:lnTo>
                  <a:lnTo>
                    <a:pt x="98" y="38"/>
                  </a:lnTo>
                  <a:lnTo>
                    <a:pt x="99" y="41"/>
                  </a:lnTo>
                  <a:lnTo>
                    <a:pt x="101" y="45"/>
                  </a:lnTo>
                  <a:lnTo>
                    <a:pt x="102" y="48"/>
                  </a:lnTo>
                  <a:lnTo>
                    <a:pt x="102" y="53"/>
                  </a:lnTo>
                  <a:lnTo>
                    <a:pt x="101" y="57"/>
                  </a:lnTo>
                  <a:lnTo>
                    <a:pt x="96" y="55"/>
                  </a:lnTo>
                  <a:lnTo>
                    <a:pt x="95" y="56"/>
                  </a:lnTo>
                  <a:lnTo>
                    <a:pt x="95" y="60"/>
                  </a:lnTo>
                  <a:lnTo>
                    <a:pt x="93" y="66"/>
                  </a:lnTo>
                  <a:lnTo>
                    <a:pt x="91" y="72"/>
                  </a:lnTo>
                  <a:lnTo>
                    <a:pt x="91" y="78"/>
                  </a:lnTo>
                  <a:lnTo>
                    <a:pt x="93" y="83"/>
                  </a:lnTo>
                  <a:lnTo>
                    <a:pt x="92" y="86"/>
                  </a:lnTo>
                  <a:lnTo>
                    <a:pt x="92" y="91"/>
                  </a:lnTo>
                  <a:lnTo>
                    <a:pt x="93" y="98"/>
                  </a:lnTo>
                  <a:lnTo>
                    <a:pt x="92" y="101"/>
                  </a:lnTo>
                  <a:lnTo>
                    <a:pt x="91" y="105"/>
                  </a:lnTo>
                  <a:lnTo>
                    <a:pt x="91" y="113"/>
                  </a:lnTo>
                  <a:lnTo>
                    <a:pt x="90" y="118"/>
                  </a:lnTo>
                  <a:lnTo>
                    <a:pt x="81" y="118"/>
                  </a:lnTo>
                  <a:lnTo>
                    <a:pt x="76" y="117"/>
                  </a:lnTo>
                  <a:lnTo>
                    <a:pt x="72" y="120"/>
                  </a:lnTo>
                  <a:lnTo>
                    <a:pt x="67" y="124"/>
                  </a:lnTo>
                  <a:lnTo>
                    <a:pt x="64" y="125"/>
                  </a:lnTo>
                  <a:lnTo>
                    <a:pt x="57" y="125"/>
                  </a:lnTo>
                  <a:lnTo>
                    <a:pt x="55" y="126"/>
                  </a:lnTo>
                  <a:lnTo>
                    <a:pt x="51" y="124"/>
                  </a:lnTo>
                  <a:lnTo>
                    <a:pt x="48" y="125"/>
                  </a:lnTo>
                  <a:lnTo>
                    <a:pt x="44" y="128"/>
                  </a:lnTo>
                  <a:lnTo>
                    <a:pt x="42" y="130"/>
                  </a:lnTo>
                  <a:lnTo>
                    <a:pt x="35" y="128"/>
                  </a:lnTo>
                  <a:lnTo>
                    <a:pt x="30" y="130"/>
                  </a:lnTo>
                  <a:lnTo>
                    <a:pt x="25" y="132"/>
                  </a:lnTo>
                  <a:lnTo>
                    <a:pt x="22" y="134"/>
                  </a:lnTo>
                  <a:lnTo>
                    <a:pt x="17" y="134"/>
                  </a:lnTo>
                  <a:lnTo>
                    <a:pt x="11" y="133"/>
                  </a:lnTo>
                  <a:lnTo>
                    <a:pt x="6" y="132"/>
                  </a:lnTo>
                  <a:lnTo>
                    <a:pt x="0" y="131"/>
                  </a:lnTo>
                  <a:close/>
                </a:path>
              </a:pathLst>
            </a:custGeom>
            <a:solidFill>
              <a:schemeClr val="accent4">
                <a:lumMod val="60000"/>
                <a:lumOff val="4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50" name="Freeform 34" descr="右下がり対角線 (太)">
              <a:extLst>
                <a:ext uri="{FF2B5EF4-FFF2-40B4-BE49-F238E27FC236}">
                  <a16:creationId xmlns:a16="http://schemas.microsoft.com/office/drawing/2014/main" id="{00000000-0008-0000-0900-00002E7E1200}"/>
                </a:ext>
              </a:extLst>
            </xdr:cNvPr>
            <xdr:cNvSpPr>
              <a:spLocks noChangeAspect="1"/>
            </xdr:cNvSpPr>
          </xdr:nvSpPr>
          <xdr:spPr bwMode="auto">
            <a:xfrm rot="238154">
              <a:off x="1013" y="2875"/>
              <a:ext cx="211" cy="232"/>
            </a:xfrm>
            <a:custGeom>
              <a:avLst/>
              <a:gdLst>
                <a:gd name="T0" fmla="*/ 1394 w 171"/>
                <a:gd name="T1" fmla="*/ 1439 h 188"/>
                <a:gd name="T2" fmla="*/ 1394 w 171"/>
                <a:gd name="T3" fmla="*/ 1334 h 188"/>
                <a:gd name="T4" fmla="*/ 1398 w 171"/>
                <a:gd name="T5" fmla="*/ 1237 h 188"/>
                <a:gd name="T6" fmla="*/ 1360 w 171"/>
                <a:gd name="T7" fmla="*/ 1140 h 188"/>
                <a:gd name="T8" fmla="*/ 1308 w 171"/>
                <a:gd name="T9" fmla="*/ 1054 h 188"/>
                <a:gd name="T10" fmla="*/ 1325 w 171"/>
                <a:gd name="T11" fmla="*/ 969 h 188"/>
                <a:gd name="T12" fmla="*/ 1325 w 171"/>
                <a:gd name="T13" fmla="*/ 909 h 188"/>
                <a:gd name="T14" fmla="*/ 1247 w 171"/>
                <a:gd name="T15" fmla="*/ 844 h 188"/>
                <a:gd name="T16" fmla="*/ 1193 w 171"/>
                <a:gd name="T17" fmla="*/ 785 h 188"/>
                <a:gd name="T18" fmla="*/ 1122 w 171"/>
                <a:gd name="T19" fmla="*/ 763 h 188"/>
                <a:gd name="T20" fmla="*/ 1081 w 171"/>
                <a:gd name="T21" fmla="*/ 658 h 188"/>
                <a:gd name="T22" fmla="*/ 1002 w 171"/>
                <a:gd name="T23" fmla="*/ 675 h 188"/>
                <a:gd name="T24" fmla="*/ 955 w 171"/>
                <a:gd name="T25" fmla="*/ 618 h 188"/>
                <a:gd name="T26" fmla="*/ 876 w 171"/>
                <a:gd name="T27" fmla="*/ 587 h 188"/>
                <a:gd name="T28" fmla="*/ 876 w 171"/>
                <a:gd name="T29" fmla="*/ 453 h 188"/>
                <a:gd name="T30" fmla="*/ 916 w 171"/>
                <a:gd name="T31" fmla="*/ 432 h 188"/>
                <a:gd name="T32" fmla="*/ 970 w 171"/>
                <a:gd name="T33" fmla="*/ 443 h 188"/>
                <a:gd name="T34" fmla="*/ 1002 w 171"/>
                <a:gd name="T35" fmla="*/ 315 h 188"/>
                <a:gd name="T36" fmla="*/ 967 w 171"/>
                <a:gd name="T37" fmla="*/ 255 h 188"/>
                <a:gd name="T38" fmla="*/ 859 w 171"/>
                <a:gd name="T39" fmla="*/ 255 h 188"/>
                <a:gd name="T40" fmla="*/ 796 w 171"/>
                <a:gd name="T41" fmla="*/ 186 h 188"/>
                <a:gd name="T42" fmla="*/ 812 w 171"/>
                <a:gd name="T43" fmla="*/ 73 h 188"/>
                <a:gd name="T44" fmla="*/ 621 w 171"/>
                <a:gd name="T45" fmla="*/ 39 h 188"/>
                <a:gd name="T46" fmla="*/ 457 w 171"/>
                <a:gd name="T47" fmla="*/ 32 h 188"/>
                <a:gd name="T48" fmla="*/ 222 w 171"/>
                <a:gd name="T49" fmla="*/ 48 h 188"/>
                <a:gd name="T50" fmla="*/ 230 w 171"/>
                <a:gd name="T51" fmla="*/ 136 h 188"/>
                <a:gd name="T52" fmla="*/ 236 w 171"/>
                <a:gd name="T53" fmla="*/ 255 h 188"/>
                <a:gd name="T54" fmla="*/ 291 w 171"/>
                <a:gd name="T55" fmla="*/ 412 h 188"/>
                <a:gd name="T56" fmla="*/ 291 w 171"/>
                <a:gd name="T57" fmla="*/ 559 h 188"/>
                <a:gd name="T58" fmla="*/ 236 w 171"/>
                <a:gd name="T59" fmla="*/ 647 h 188"/>
                <a:gd name="T60" fmla="*/ 186 w 171"/>
                <a:gd name="T61" fmla="*/ 690 h 188"/>
                <a:gd name="T62" fmla="*/ 200 w 171"/>
                <a:gd name="T63" fmla="*/ 774 h 188"/>
                <a:gd name="T64" fmla="*/ 136 w 171"/>
                <a:gd name="T65" fmla="*/ 833 h 188"/>
                <a:gd name="T66" fmla="*/ 48 w 171"/>
                <a:gd name="T67" fmla="*/ 924 h 188"/>
                <a:gd name="T68" fmla="*/ 32 w 171"/>
                <a:gd name="T69" fmla="*/ 969 h 188"/>
                <a:gd name="T70" fmla="*/ 1 w 171"/>
                <a:gd name="T71" fmla="*/ 1042 h 188"/>
                <a:gd name="T72" fmla="*/ 0 w 171"/>
                <a:gd name="T73" fmla="*/ 1140 h 188"/>
                <a:gd name="T74" fmla="*/ 2 w 171"/>
                <a:gd name="T75" fmla="*/ 1237 h 188"/>
                <a:gd name="T76" fmla="*/ 48 w 171"/>
                <a:gd name="T77" fmla="*/ 1301 h 188"/>
                <a:gd name="T78" fmla="*/ 186 w 171"/>
                <a:gd name="T79" fmla="*/ 1308 h 188"/>
                <a:gd name="T80" fmla="*/ 621 w 171"/>
                <a:gd name="T81" fmla="*/ 1334 h 188"/>
                <a:gd name="T82" fmla="*/ 774 w 171"/>
                <a:gd name="T83" fmla="*/ 1501 h 188"/>
                <a:gd name="T84" fmla="*/ 941 w 171"/>
                <a:gd name="T85" fmla="*/ 1540 h 188"/>
                <a:gd name="T86" fmla="*/ 1166 w 171"/>
                <a:gd name="T87" fmla="*/ 1455 h 188"/>
                <a:gd name="T88" fmla="*/ 1360 w 171"/>
                <a:gd name="T89" fmla="*/ 1512 h 188"/>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0" t="0" r="r" b="b"/>
              <a:pathLst>
                <a:path w="171" h="188">
                  <a:moveTo>
                    <a:pt x="167" y="185"/>
                  </a:moveTo>
                  <a:lnTo>
                    <a:pt x="170" y="180"/>
                  </a:lnTo>
                  <a:lnTo>
                    <a:pt x="170" y="176"/>
                  </a:lnTo>
                  <a:lnTo>
                    <a:pt x="171" y="172"/>
                  </a:lnTo>
                  <a:lnTo>
                    <a:pt x="171" y="167"/>
                  </a:lnTo>
                  <a:lnTo>
                    <a:pt x="170" y="163"/>
                  </a:lnTo>
                  <a:lnTo>
                    <a:pt x="168" y="159"/>
                  </a:lnTo>
                  <a:lnTo>
                    <a:pt x="169" y="156"/>
                  </a:lnTo>
                  <a:lnTo>
                    <a:pt x="171" y="151"/>
                  </a:lnTo>
                  <a:lnTo>
                    <a:pt x="171" y="148"/>
                  </a:lnTo>
                  <a:lnTo>
                    <a:pt x="171" y="143"/>
                  </a:lnTo>
                  <a:lnTo>
                    <a:pt x="167" y="139"/>
                  </a:lnTo>
                  <a:lnTo>
                    <a:pt x="159" y="134"/>
                  </a:lnTo>
                  <a:lnTo>
                    <a:pt x="159" y="131"/>
                  </a:lnTo>
                  <a:lnTo>
                    <a:pt x="160" y="129"/>
                  </a:lnTo>
                  <a:lnTo>
                    <a:pt x="158" y="122"/>
                  </a:lnTo>
                  <a:lnTo>
                    <a:pt x="158" y="120"/>
                  </a:lnTo>
                  <a:lnTo>
                    <a:pt x="161" y="118"/>
                  </a:lnTo>
                  <a:lnTo>
                    <a:pt x="161" y="112"/>
                  </a:lnTo>
                  <a:lnTo>
                    <a:pt x="161" y="111"/>
                  </a:lnTo>
                  <a:lnTo>
                    <a:pt x="159" y="106"/>
                  </a:lnTo>
                  <a:lnTo>
                    <a:pt x="157" y="104"/>
                  </a:lnTo>
                  <a:lnTo>
                    <a:pt x="152" y="103"/>
                  </a:lnTo>
                  <a:lnTo>
                    <a:pt x="148" y="101"/>
                  </a:lnTo>
                  <a:lnTo>
                    <a:pt x="148" y="97"/>
                  </a:lnTo>
                  <a:lnTo>
                    <a:pt x="146" y="96"/>
                  </a:lnTo>
                  <a:lnTo>
                    <a:pt x="143" y="97"/>
                  </a:lnTo>
                  <a:lnTo>
                    <a:pt x="140" y="96"/>
                  </a:lnTo>
                  <a:lnTo>
                    <a:pt x="137" y="93"/>
                  </a:lnTo>
                  <a:lnTo>
                    <a:pt x="137" y="89"/>
                  </a:lnTo>
                  <a:lnTo>
                    <a:pt x="136" y="83"/>
                  </a:lnTo>
                  <a:lnTo>
                    <a:pt x="132" y="80"/>
                  </a:lnTo>
                  <a:lnTo>
                    <a:pt x="129" y="80"/>
                  </a:lnTo>
                  <a:lnTo>
                    <a:pt x="125" y="82"/>
                  </a:lnTo>
                  <a:lnTo>
                    <a:pt x="122" y="83"/>
                  </a:lnTo>
                  <a:lnTo>
                    <a:pt x="119" y="82"/>
                  </a:lnTo>
                  <a:lnTo>
                    <a:pt x="118" y="78"/>
                  </a:lnTo>
                  <a:lnTo>
                    <a:pt x="117" y="75"/>
                  </a:lnTo>
                  <a:lnTo>
                    <a:pt x="114" y="73"/>
                  </a:lnTo>
                  <a:lnTo>
                    <a:pt x="110" y="73"/>
                  </a:lnTo>
                  <a:lnTo>
                    <a:pt x="107" y="71"/>
                  </a:lnTo>
                  <a:lnTo>
                    <a:pt x="105" y="68"/>
                  </a:lnTo>
                  <a:lnTo>
                    <a:pt x="106" y="61"/>
                  </a:lnTo>
                  <a:lnTo>
                    <a:pt x="107" y="55"/>
                  </a:lnTo>
                  <a:lnTo>
                    <a:pt x="108" y="52"/>
                  </a:lnTo>
                  <a:lnTo>
                    <a:pt x="110" y="52"/>
                  </a:lnTo>
                  <a:lnTo>
                    <a:pt x="112" y="53"/>
                  </a:lnTo>
                  <a:lnTo>
                    <a:pt x="114" y="55"/>
                  </a:lnTo>
                  <a:lnTo>
                    <a:pt x="115" y="55"/>
                  </a:lnTo>
                  <a:lnTo>
                    <a:pt x="119" y="54"/>
                  </a:lnTo>
                  <a:lnTo>
                    <a:pt x="120" y="53"/>
                  </a:lnTo>
                  <a:lnTo>
                    <a:pt x="121" y="48"/>
                  </a:lnTo>
                  <a:lnTo>
                    <a:pt x="122" y="38"/>
                  </a:lnTo>
                  <a:lnTo>
                    <a:pt x="121" y="32"/>
                  </a:lnTo>
                  <a:lnTo>
                    <a:pt x="120" y="31"/>
                  </a:lnTo>
                  <a:lnTo>
                    <a:pt x="118" y="31"/>
                  </a:lnTo>
                  <a:lnTo>
                    <a:pt x="109" y="33"/>
                  </a:lnTo>
                  <a:lnTo>
                    <a:pt x="107" y="33"/>
                  </a:lnTo>
                  <a:lnTo>
                    <a:pt x="105" y="31"/>
                  </a:lnTo>
                  <a:lnTo>
                    <a:pt x="104" y="29"/>
                  </a:lnTo>
                  <a:lnTo>
                    <a:pt x="98" y="26"/>
                  </a:lnTo>
                  <a:lnTo>
                    <a:pt x="97" y="23"/>
                  </a:lnTo>
                  <a:lnTo>
                    <a:pt x="97" y="18"/>
                  </a:lnTo>
                  <a:lnTo>
                    <a:pt x="98" y="15"/>
                  </a:lnTo>
                  <a:lnTo>
                    <a:pt x="99" y="9"/>
                  </a:lnTo>
                  <a:lnTo>
                    <a:pt x="94" y="7"/>
                  </a:lnTo>
                  <a:lnTo>
                    <a:pt x="86" y="5"/>
                  </a:lnTo>
                  <a:lnTo>
                    <a:pt x="76" y="5"/>
                  </a:lnTo>
                  <a:lnTo>
                    <a:pt x="74" y="5"/>
                  </a:lnTo>
                  <a:lnTo>
                    <a:pt x="64" y="0"/>
                  </a:lnTo>
                  <a:lnTo>
                    <a:pt x="56" y="4"/>
                  </a:lnTo>
                  <a:lnTo>
                    <a:pt x="52" y="5"/>
                  </a:lnTo>
                  <a:lnTo>
                    <a:pt x="38" y="1"/>
                  </a:lnTo>
                  <a:lnTo>
                    <a:pt x="27" y="6"/>
                  </a:lnTo>
                  <a:lnTo>
                    <a:pt x="28" y="11"/>
                  </a:lnTo>
                  <a:lnTo>
                    <a:pt x="29" y="13"/>
                  </a:lnTo>
                  <a:lnTo>
                    <a:pt x="28" y="16"/>
                  </a:lnTo>
                  <a:lnTo>
                    <a:pt x="28" y="21"/>
                  </a:lnTo>
                  <a:lnTo>
                    <a:pt x="28" y="26"/>
                  </a:lnTo>
                  <a:lnTo>
                    <a:pt x="29" y="31"/>
                  </a:lnTo>
                  <a:lnTo>
                    <a:pt x="32" y="38"/>
                  </a:lnTo>
                  <a:lnTo>
                    <a:pt x="35" y="45"/>
                  </a:lnTo>
                  <a:lnTo>
                    <a:pt x="36" y="50"/>
                  </a:lnTo>
                  <a:lnTo>
                    <a:pt x="35" y="56"/>
                  </a:lnTo>
                  <a:lnTo>
                    <a:pt x="35" y="60"/>
                  </a:lnTo>
                  <a:lnTo>
                    <a:pt x="36" y="68"/>
                  </a:lnTo>
                  <a:lnTo>
                    <a:pt x="36" y="71"/>
                  </a:lnTo>
                  <a:lnTo>
                    <a:pt x="33" y="76"/>
                  </a:lnTo>
                  <a:lnTo>
                    <a:pt x="29" y="79"/>
                  </a:lnTo>
                  <a:lnTo>
                    <a:pt x="24" y="80"/>
                  </a:lnTo>
                  <a:lnTo>
                    <a:pt x="23" y="80"/>
                  </a:lnTo>
                  <a:lnTo>
                    <a:pt x="23" y="84"/>
                  </a:lnTo>
                  <a:lnTo>
                    <a:pt x="25" y="89"/>
                  </a:lnTo>
                  <a:lnTo>
                    <a:pt x="25" y="92"/>
                  </a:lnTo>
                  <a:lnTo>
                    <a:pt x="24" y="95"/>
                  </a:lnTo>
                  <a:lnTo>
                    <a:pt x="21" y="98"/>
                  </a:lnTo>
                  <a:lnTo>
                    <a:pt x="18" y="100"/>
                  </a:lnTo>
                  <a:lnTo>
                    <a:pt x="16" y="102"/>
                  </a:lnTo>
                  <a:lnTo>
                    <a:pt x="14" y="105"/>
                  </a:lnTo>
                  <a:lnTo>
                    <a:pt x="10" y="109"/>
                  </a:lnTo>
                  <a:lnTo>
                    <a:pt x="6" y="113"/>
                  </a:lnTo>
                  <a:lnTo>
                    <a:pt x="5" y="114"/>
                  </a:lnTo>
                  <a:lnTo>
                    <a:pt x="4" y="117"/>
                  </a:lnTo>
                  <a:lnTo>
                    <a:pt x="4" y="118"/>
                  </a:lnTo>
                  <a:lnTo>
                    <a:pt x="2" y="122"/>
                  </a:lnTo>
                  <a:lnTo>
                    <a:pt x="2" y="124"/>
                  </a:lnTo>
                  <a:lnTo>
                    <a:pt x="1" y="127"/>
                  </a:lnTo>
                  <a:lnTo>
                    <a:pt x="2" y="130"/>
                  </a:lnTo>
                  <a:lnTo>
                    <a:pt x="2" y="134"/>
                  </a:lnTo>
                  <a:lnTo>
                    <a:pt x="0" y="139"/>
                  </a:lnTo>
                  <a:lnTo>
                    <a:pt x="1" y="141"/>
                  </a:lnTo>
                  <a:lnTo>
                    <a:pt x="2" y="147"/>
                  </a:lnTo>
                  <a:lnTo>
                    <a:pt x="2" y="151"/>
                  </a:lnTo>
                  <a:lnTo>
                    <a:pt x="4" y="153"/>
                  </a:lnTo>
                  <a:lnTo>
                    <a:pt x="6" y="156"/>
                  </a:lnTo>
                  <a:lnTo>
                    <a:pt x="6" y="159"/>
                  </a:lnTo>
                  <a:lnTo>
                    <a:pt x="8" y="165"/>
                  </a:lnTo>
                  <a:lnTo>
                    <a:pt x="10" y="164"/>
                  </a:lnTo>
                  <a:lnTo>
                    <a:pt x="23" y="160"/>
                  </a:lnTo>
                  <a:lnTo>
                    <a:pt x="32" y="157"/>
                  </a:lnTo>
                  <a:lnTo>
                    <a:pt x="68" y="159"/>
                  </a:lnTo>
                  <a:lnTo>
                    <a:pt x="76" y="163"/>
                  </a:lnTo>
                  <a:lnTo>
                    <a:pt x="85" y="173"/>
                  </a:lnTo>
                  <a:lnTo>
                    <a:pt x="92" y="181"/>
                  </a:lnTo>
                  <a:lnTo>
                    <a:pt x="95" y="183"/>
                  </a:lnTo>
                  <a:lnTo>
                    <a:pt x="103" y="187"/>
                  </a:lnTo>
                  <a:lnTo>
                    <a:pt x="110" y="188"/>
                  </a:lnTo>
                  <a:lnTo>
                    <a:pt x="115" y="188"/>
                  </a:lnTo>
                  <a:lnTo>
                    <a:pt x="124" y="187"/>
                  </a:lnTo>
                  <a:lnTo>
                    <a:pt x="129" y="186"/>
                  </a:lnTo>
                  <a:lnTo>
                    <a:pt x="143" y="178"/>
                  </a:lnTo>
                  <a:lnTo>
                    <a:pt x="157" y="179"/>
                  </a:lnTo>
                  <a:lnTo>
                    <a:pt x="166" y="184"/>
                  </a:lnTo>
                  <a:lnTo>
                    <a:pt x="167" y="185"/>
                  </a:lnTo>
                  <a:close/>
                </a:path>
              </a:pathLst>
            </a:custGeom>
            <a:solidFill>
              <a:schemeClr val="accent4">
                <a:lumMod val="60000"/>
                <a:lumOff val="4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51" name="Freeform 35" descr="右下がり対角線 (太)">
              <a:extLst>
                <a:ext uri="{FF2B5EF4-FFF2-40B4-BE49-F238E27FC236}">
                  <a16:creationId xmlns:a16="http://schemas.microsoft.com/office/drawing/2014/main" id="{00000000-0008-0000-0900-00002F7E1200}"/>
                </a:ext>
              </a:extLst>
            </xdr:cNvPr>
            <xdr:cNvSpPr>
              <a:spLocks noChangeAspect="1"/>
            </xdr:cNvSpPr>
          </xdr:nvSpPr>
          <xdr:spPr bwMode="auto">
            <a:xfrm rot="238154">
              <a:off x="1065" y="3106"/>
              <a:ext cx="73" cy="87"/>
            </a:xfrm>
            <a:custGeom>
              <a:avLst/>
              <a:gdLst>
                <a:gd name="T0" fmla="*/ 492 w 59"/>
                <a:gd name="T1" fmla="*/ 2 h 70"/>
                <a:gd name="T2" fmla="*/ 492 w 59"/>
                <a:gd name="T3" fmla="*/ 50 h 70"/>
                <a:gd name="T4" fmla="*/ 465 w 59"/>
                <a:gd name="T5" fmla="*/ 116 h 70"/>
                <a:gd name="T6" fmla="*/ 454 w 59"/>
                <a:gd name="T7" fmla="*/ 144 h 70"/>
                <a:gd name="T8" fmla="*/ 424 w 59"/>
                <a:gd name="T9" fmla="*/ 184 h 70"/>
                <a:gd name="T10" fmla="*/ 364 w 59"/>
                <a:gd name="T11" fmla="*/ 254 h 70"/>
                <a:gd name="T12" fmla="*/ 334 w 59"/>
                <a:gd name="T13" fmla="*/ 316 h 70"/>
                <a:gd name="T14" fmla="*/ 334 w 59"/>
                <a:gd name="T15" fmla="*/ 331 h 70"/>
                <a:gd name="T16" fmla="*/ 376 w 59"/>
                <a:gd name="T17" fmla="*/ 377 h 70"/>
                <a:gd name="T18" fmla="*/ 398 w 59"/>
                <a:gd name="T19" fmla="*/ 430 h 70"/>
                <a:gd name="T20" fmla="*/ 392 w 59"/>
                <a:gd name="T21" fmla="*/ 472 h 70"/>
                <a:gd name="T22" fmla="*/ 367 w 59"/>
                <a:gd name="T23" fmla="*/ 498 h 70"/>
                <a:gd name="T24" fmla="*/ 304 w 59"/>
                <a:gd name="T25" fmla="*/ 547 h 70"/>
                <a:gd name="T26" fmla="*/ 246 w 59"/>
                <a:gd name="T27" fmla="*/ 583 h 70"/>
                <a:gd name="T28" fmla="*/ 142 w 59"/>
                <a:gd name="T29" fmla="*/ 618 h 70"/>
                <a:gd name="T30" fmla="*/ 109 w 59"/>
                <a:gd name="T31" fmla="*/ 587 h 70"/>
                <a:gd name="T32" fmla="*/ 71 w 59"/>
                <a:gd name="T33" fmla="*/ 552 h 70"/>
                <a:gd name="T34" fmla="*/ 32 w 59"/>
                <a:gd name="T35" fmla="*/ 529 h 70"/>
                <a:gd name="T36" fmla="*/ 0 w 59"/>
                <a:gd name="T37" fmla="*/ 488 h 70"/>
                <a:gd name="T38" fmla="*/ 0 w 59"/>
                <a:gd name="T39" fmla="*/ 430 h 70"/>
                <a:gd name="T40" fmla="*/ 26 w 59"/>
                <a:gd name="T41" fmla="*/ 400 h 70"/>
                <a:gd name="T42" fmla="*/ 71 w 59"/>
                <a:gd name="T43" fmla="*/ 374 h 70"/>
                <a:gd name="T44" fmla="*/ 93 w 59"/>
                <a:gd name="T45" fmla="*/ 354 h 70"/>
                <a:gd name="T46" fmla="*/ 135 w 59"/>
                <a:gd name="T47" fmla="*/ 287 h 70"/>
                <a:gd name="T48" fmla="*/ 176 w 59"/>
                <a:gd name="T49" fmla="*/ 222 h 70"/>
                <a:gd name="T50" fmla="*/ 226 w 59"/>
                <a:gd name="T51" fmla="*/ 157 h 70"/>
                <a:gd name="T52" fmla="*/ 280 w 59"/>
                <a:gd name="T53" fmla="*/ 109 h 70"/>
                <a:gd name="T54" fmla="*/ 322 w 59"/>
                <a:gd name="T55" fmla="*/ 62 h 70"/>
                <a:gd name="T56" fmla="*/ 376 w 59"/>
                <a:gd name="T57" fmla="*/ 26 h 70"/>
                <a:gd name="T58" fmla="*/ 398 w 59"/>
                <a:gd name="T59" fmla="*/ 2 h 70"/>
                <a:gd name="T60" fmla="*/ 450 w 59"/>
                <a:gd name="T61" fmla="*/ 0 h 70"/>
                <a:gd name="T62" fmla="*/ 486 w 59"/>
                <a:gd name="T63" fmla="*/ 0 h 70"/>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0" t="0" r="r" b="b"/>
              <a:pathLst>
                <a:path w="59" h="70">
                  <a:moveTo>
                    <a:pt x="58" y="0"/>
                  </a:moveTo>
                  <a:lnTo>
                    <a:pt x="59" y="2"/>
                  </a:lnTo>
                  <a:lnTo>
                    <a:pt x="59" y="4"/>
                  </a:lnTo>
                  <a:lnTo>
                    <a:pt x="59" y="6"/>
                  </a:lnTo>
                  <a:lnTo>
                    <a:pt x="57" y="9"/>
                  </a:lnTo>
                  <a:lnTo>
                    <a:pt x="56" y="13"/>
                  </a:lnTo>
                  <a:lnTo>
                    <a:pt x="55" y="15"/>
                  </a:lnTo>
                  <a:lnTo>
                    <a:pt x="54" y="16"/>
                  </a:lnTo>
                  <a:lnTo>
                    <a:pt x="52" y="19"/>
                  </a:lnTo>
                  <a:lnTo>
                    <a:pt x="50" y="21"/>
                  </a:lnTo>
                  <a:lnTo>
                    <a:pt x="48" y="23"/>
                  </a:lnTo>
                  <a:lnTo>
                    <a:pt x="43" y="28"/>
                  </a:lnTo>
                  <a:lnTo>
                    <a:pt x="42" y="32"/>
                  </a:lnTo>
                  <a:lnTo>
                    <a:pt x="40" y="35"/>
                  </a:lnTo>
                  <a:lnTo>
                    <a:pt x="40" y="36"/>
                  </a:lnTo>
                  <a:lnTo>
                    <a:pt x="40" y="38"/>
                  </a:lnTo>
                  <a:lnTo>
                    <a:pt x="42" y="40"/>
                  </a:lnTo>
                  <a:lnTo>
                    <a:pt x="45" y="43"/>
                  </a:lnTo>
                  <a:lnTo>
                    <a:pt x="46" y="46"/>
                  </a:lnTo>
                  <a:lnTo>
                    <a:pt x="48" y="49"/>
                  </a:lnTo>
                  <a:lnTo>
                    <a:pt x="47" y="51"/>
                  </a:lnTo>
                  <a:lnTo>
                    <a:pt x="46" y="54"/>
                  </a:lnTo>
                  <a:lnTo>
                    <a:pt x="45" y="55"/>
                  </a:lnTo>
                  <a:lnTo>
                    <a:pt x="44" y="57"/>
                  </a:lnTo>
                  <a:lnTo>
                    <a:pt x="41" y="59"/>
                  </a:lnTo>
                  <a:lnTo>
                    <a:pt x="36" y="62"/>
                  </a:lnTo>
                  <a:lnTo>
                    <a:pt x="32" y="65"/>
                  </a:lnTo>
                  <a:lnTo>
                    <a:pt x="29" y="66"/>
                  </a:lnTo>
                  <a:lnTo>
                    <a:pt x="25" y="68"/>
                  </a:lnTo>
                  <a:lnTo>
                    <a:pt x="17" y="70"/>
                  </a:lnTo>
                  <a:lnTo>
                    <a:pt x="15" y="69"/>
                  </a:lnTo>
                  <a:lnTo>
                    <a:pt x="12" y="67"/>
                  </a:lnTo>
                  <a:lnTo>
                    <a:pt x="10" y="65"/>
                  </a:lnTo>
                  <a:lnTo>
                    <a:pt x="8" y="63"/>
                  </a:lnTo>
                  <a:lnTo>
                    <a:pt x="6" y="62"/>
                  </a:lnTo>
                  <a:lnTo>
                    <a:pt x="4" y="60"/>
                  </a:lnTo>
                  <a:lnTo>
                    <a:pt x="2" y="58"/>
                  </a:lnTo>
                  <a:lnTo>
                    <a:pt x="0" y="55"/>
                  </a:lnTo>
                  <a:lnTo>
                    <a:pt x="0" y="53"/>
                  </a:lnTo>
                  <a:lnTo>
                    <a:pt x="0" y="49"/>
                  </a:lnTo>
                  <a:lnTo>
                    <a:pt x="1" y="47"/>
                  </a:lnTo>
                  <a:lnTo>
                    <a:pt x="3" y="45"/>
                  </a:lnTo>
                  <a:lnTo>
                    <a:pt x="5" y="44"/>
                  </a:lnTo>
                  <a:lnTo>
                    <a:pt x="8" y="42"/>
                  </a:lnTo>
                  <a:lnTo>
                    <a:pt x="10" y="41"/>
                  </a:lnTo>
                  <a:lnTo>
                    <a:pt x="11" y="40"/>
                  </a:lnTo>
                  <a:lnTo>
                    <a:pt x="12" y="37"/>
                  </a:lnTo>
                  <a:lnTo>
                    <a:pt x="15" y="33"/>
                  </a:lnTo>
                  <a:lnTo>
                    <a:pt x="18" y="29"/>
                  </a:lnTo>
                  <a:lnTo>
                    <a:pt x="21" y="25"/>
                  </a:lnTo>
                  <a:lnTo>
                    <a:pt x="26" y="21"/>
                  </a:lnTo>
                  <a:lnTo>
                    <a:pt x="27" y="18"/>
                  </a:lnTo>
                  <a:lnTo>
                    <a:pt x="31" y="14"/>
                  </a:lnTo>
                  <a:lnTo>
                    <a:pt x="33" y="12"/>
                  </a:lnTo>
                  <a:lnTo>
                    <a:pt x="36" y="9"/>
                  </a:lnTo>
                  <a:lnTo>
                    <a:pt x="39" y="7"/>
                  </a:lnTo>
                  <a:lnTo>
                    <a:pt x="42" y="5"/>
                  </a:lnTo>
                  <a:lnTo>
                    <a:pt x="45" y="3"/>
                  </a:lnTo>
                  <a:lnTo>
                    <a:pt x="46" y="2"/>
                  </a:lnTo>
                  <a:lnTo>
                    <a:pt x="48" y="2"/>
                  </a:lnTo>
                  <a:lnTo>
                    <a:pt x="51" y="1"/>
                  </a:lnTo>
                  <a:lnTo>
                    <a:pt x="53" y="0"/>
                  </a:lnTo>
                  <a:lnTo>
                    <a:pt x="55" y="0"/>
                  </a:lnTo>
                  <a:lnTo>
                    <a:pt x="58" y="0"/>
                  </a:lnTo>
                  <a:close/>
                </a:path>
              </a:pathLst>
            </a:custGeom>
            <a:solidFill>
              <a:schemeClr val="accent4">
                <a:lumMod val="60000"/>
                <a:lumOff val="4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52" name="Freeform 36" descr="右下がり対角線 (太)">
              <a:extLst>
                <a:ext uri="{FF2B5EF4-FFF2-40B4-BE49-F238E27FC236}">
                  <a16:creationId xmlns:a16="http://schemas.microsoft.com/office/drawing/2014/main" id="{00000000-0008-0000-0900-0000307E1200}"/>
                </a:ext>
              </a:extLst>
            </xdr:cNvPr>
            <xdr:cNvSpPr>
              <a:spLocks noChangeAspect="1"/>
            </xdr:cNvSpPr>
          </xdr:nvSpPr>
          <xdr:spPr bwMode="auto">
            <a:xfrm rot="238154">
              <a:off x="1120" y="3164"/>
              <a:ext cx="176" cy="205"/>
            </a:xfrm>
            <a:custGeom>
              <a:avLst/>
              <a:gdLst>
                <a:gd name="T0" fmla="*/ 1104 w 143"/>
                <a:gd name="T1" fmla="*/ 1097 h 165"/>
                <a:gd name="T2" fmla="*/ 1074 w 143"/>
                <a:gd name="T3" fmla="*/ 1244 h 165"/>
                <a:gd name="T4" fmla="*/ 932 w 143"/>
                <a:gd name="T5" fmla="*/ 1338 h 165"/>
                <a:gd name="T6" fmla="*/ 897 w 143"/>
                <a:gd name="T7" fmla="*/ 1401 h 165"/>
                <a:gd name="T8" fmla="*/ 794 w 143"/>
                <a:gd name="T9" fmla="*/ 1419 h 165"/>
                <a:gd name="T10" fmla="*/ 794 w 143"/>
                <a:gd name="T11" fmla="*/ 1377 h 165"/>
                <a:gd name="T12" fmla="*/ 452 w 143"/>
                <a:gd name="T13" fmla="*/ 1287 h 165"/>
                <a:gd name="T14" fmla="*/ 372 w 143"/>
                <a:gd name="T15" fmla="*/ 1169 h 165"/>
                <a:gd name="T16" fmla="*/ 298 w 143"/>
                <a:gd name="T17" fmla="*/ 1059 h 165"/>
                <a:gd name="T18" fmla="*/ 357 w 143"/>
                <a:gd name="T19" fmla="*/ 1013 h 165"/>
                <a:gd name="T20" fmla="*/ 273 w 143"/>
                <a:gd name="T21" fmla="*/ 942 h 165"/>
                <a:gd name="T22" fmla="*/ 197 w 143"/>
                <a:gd name="T23" fmla="*/ 896 h 165"/>
                <a:gd name="T24" fmla="*/ 116 w 143"/>
                <a:gd name="T25" fmla="*/ 778 h 165"/>
                <a:gd name="T26" fmla="*/ 48 w 143"/>
                <a:gd name="T27" fmla="*/ 731 h 165"/>
                <a:gd name="T28" fmla="*/ 26 w 143"/>
                <a:gd name="T29" fmla="*/ 586 h 165"/>
                <a:gd name="T30" fmla="*/ 90 w 143"/>
                <a:gd name="T31" fmla="*/ 547 h 165"/>
                <a:gd name="T32" fmla="*/ 94 w 143"/>
                <a:gd name="T33" fmla="*/ 472 h 165"/>
                <a:gd name="T34" fmla="*/ 48 w 143"/>
                <a:gd name="T35" fmla="*/ 395 h 165"/>
                <a:gd name="T36" fmla="*/ 143 w 143"/>
                <a:gd name="T37" fmla="*/ 323 h 165"/>
                <a:gd name="T38" fmla="*/ 111 w 143"/>
                <a:gd name="T39" fmla="*/ 240 h 165"/>
                <a:gd name="T40" fmla="*/ 62 w 143"/>
                <a:gd name="T41" fmla="*/ 119 h 165"/>
                <a:gd name="T42" fmla="*/ 146 w 143"/>
                <a:gd name="T43" fmla="*/ 144 h 165"/>
                <a:gd name="T44" fmla="*/ 242 w 143"/>
                <a:gd name="T45" fmla="*/ 148 h 165"/>
                <a:gd name="T46" fmla="*/ 302 w 143"/>
                <a:gd name="T47" fmla="*/ 116 h 165"/>
                <a:gd name="T48" fmla="*/ 405 w 143"/>
                <a:gd name="T49" fmla="*/ 116 h 165"/>
                <a:gd name="T50" fmla="*/ 450 w 143"/>
                <a:gd name="T51" fmla="*/ 71 h 165"/>
                <a:gd name="T52" fmla="*/ 503 w 143"/>
                <a:gd name="T53" fmla="*/ 77 h 165"/>
                <a:gd name="T54" fmla="*/ 576 w 143"/>
                <a:gd name="T55" fmla="*/ 71 h 165"/>
                <a:gd name="T56" fmla="*/ 636 w 143"/>
                <a:gd name="T57" fmla="*/ 26 h 165"/>
                <a:gd name="T58" fmla="*/ 709 w 143"/>
                <a:gd name="T59" fmla="*/ 1 h 165"/>
                <a:gd name="T60" fmla="*/ 783 w 143"/>
                <a:gd name="T61" fmla="*/ 71 h 165"/>
                <a:gd name="T62" fmla="*/ 816 w 143"/>
                <a:gd name="T63" fmla="*/ 144 h 165"/>
                <a:gd name="T64" fmla="*/ 818 w 143"/>
                <a:gd name="T65" fmla="*/ 209 h 165"/>
                <a:gd name="T66" fmla="*/ 757 w 143"/>
                <a:gd name="T67" fmla="*/ 240 h 165"/>
                <a:gd name="T68" fmla="*/ 729 w 143"/>
                <a:gd name="T69" fmla="*/ 287 h 165"/>
                <a:gd name="T70" fmla="*/ 694 w 143"/>
                <a:gd name="T71" fmla="*/ 357 h 165"/>
                <a:gd name="T72" fmla="*/ 665 w 143"/>
                <a:gd name="T73" fmla="*/ 444 h 165"/>
                <a:gd name="T74" fmla="*/ 709 w 143"/>
                <a:gd name="T75" fmla="*/ 514 h 165"/>
                <a:gd name="T76" fmla="*/ 726 w 143"/>
                <a:gd name="T77" fmla="*/ 580 h 165"/>
                <a:gd name="T78" fmla="*/ 726 w 143"/>
                <a:gd name="T79" fmla="*/ 639 h 165"/>
                <a:gd name="T80" fmla="*/ 724 w 143"/>
                <a:gd name="T81" fmla="*/ 696 h 165"/>
                <a:gd name="T82" fmla="*/ 762 w 143"/>
                <a:gd name="T83" fmla="*/ 757 h 165"/>
                <a:gd name="T84" fmla="*/ 816 w 143"/>
                <a:gd name="T85" fmla="*/ 721 h 165"/>
                <a:gd name="T86" fmla="*/ 865 w 143"/>
                <a:gd name="T87" fmla="*/ 749 h 165"/>
                <a:gd name="T88" fmla="*/ 932 w 143"/>
                <a:gd name="T89" fmla="*/ 721 h 165"/>
                <a:gd name="T90" fmla="*/ 977 w 143"/>
                <a:gd name="T91" fmla="*/ 778 h 165"/>
                <a:gd name="T92" fmla="*/ 1007 w 143"/>
                <a:gd name="T93" fmla="*/ 883 h 165"/>
                <a:gd name="T94" fmla="*/ 1065 w 143"/>
                <a:gd name="T95" fmla="*/ 965 h 165"/>
                <a:gd name="T96" fmla="*/ 1097 w 143"/>
                <a:gd name="T97" fmla="*/ 1021 h 165"/>
                <a:gd name="T98" fmla="*/ 1142 w 143"/>
                <a:gd name="T99" fmla="*/ 1051 h 165"/>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0" t="0" r="r" b="b"/>
              <a:pathLst>
                <a:path w="143" h="165">
                  <a:moveTo>
                    <a:pt x="143" y="120"/>
                  </a:moveTo>
                  <a:lnTo>
                    <a:pt x="139" y="125"/>
                  </a:lnTo>
                  <a:lnTo>
                    <a:pt x="137" y="129"/>
                  </a:lnTo>
                  <a:lnTo>
                    <a:pt x="135" y="142"/>
                  </a:lnTo>
                  <a:lnTo>
                    <a:pt x="132" y="144"/>
                  </a:lnTo>
                  <a:lnTo>
                    <a:pt x="117" y="153"/>
                  </a:lnTo>
                  <a:lnTo>
                    <a:pt x="115" y="154"/>
                  </a:lnTo>
                  <a:lnTo>
                    <a:pt x="113" y="160"/>
                  </a:lnTo>
                  <a:lnTo>
                    <a:pt x="100" y="165"/>
                  </a:lnTo>
                  <a:lnTo>
                    <a:pt x="99" y="162"/>
                  </a:lnTo>
                  <a:lnTo>
                    <a:pt x="101" y="157"/>
                  </a:lnTo>
                  <a:lnTo>
                    <a:pt x="99" y="157"/>
                  </a:lnTo>
                  <a:lnTo>
                    <a:pt x="65" y="148"/>
                  </a:lnTo>
                  <a:lnTo>
                    <a:pt x="57" y="147"/>
                  </a:lnTo>
                  <a:lnTo>
                    <a:pt x="48" y="137"/>
                  </a:lnTo>
                  <a:lnTo>
                    <a:pt x="47" y="133"/>
                  </a:lnTo>
                  <a:lnTo>
                    <a:pt x="39" y="127"/>
                  </a:lnTo>
                  <a:lnTo>
                    <a:pt x="37" y="121"/>
                  </a:lnTo>
                  <a:lnTo>
                    <a:pt x="42" y="116"/>
                  </a:lnTo>
                  <a:lnTo>
                    <a:pt x="45" y="115"/>
                  </a:lnTo>
                  <a:lnTo>
                    <a:pt x="41" y="111"/>
                  </a:lnTo>
                  <a:lnTo>
                    <a:pt x="34" y="108"/>
                  </a:lnTo>
                  <a:lnTo>
                    <a:pt x="27" y="103"/>
                  </a:lnTo>
                  <a:lnTo>
                    <a:pt x="24" y="102"/>
                  </a:lnTo>
                  <a:lnTo>
                    <a:pt x="22" y="100"/>
                  </a:lnTo>
                  <a:lnTo>
                    <a:pt x="15" y="89"/>
                  </a:lnTo>
                  <a:lnTo>
                    <a:pt x="10" y="85"/>
                  </a:lnTo>
                  <a:lnTo>
                    <a:pt x="6" y="84"/>
                  </a:lnTo>
                  <a:lnTo>
                    <a:pt x="0" y="84"/>
                  </a:lnTo>
                  <a:lnTo>
                    <a:pt x="3" y="67"/>
                  </a:lnTo>
                  <a:lnTo>
                    <a:pt x="5" y="64"/>
                  </a:lnTo>
                  <a:lnTo>
                    <a:pt x="11" y="62"/>
                  </a:lnTo>
                  <a:lnTo>
                    <a:pt x="12" y="58"/>
                  </a:lnTo>
                  <a:lnTo>
                    <a:pt x="12" y="54"/>
                  </a:lnTo>
                  <a:lnTo>
                    <a:pt x="6" y="49"/>
                  </a:lnTo>
                  <a:lnTo>
                    <a:pt x="6" y="45"/>
                  </a:lnTo>
                  <a:lnTo>
                    <a:pt x="8" y="43"/>
                  </a:lnTo>
                  <a:lnTo>
                    <a:pt x="18" y="37"/>
                  </a:lnTo>
                  <a:lnTo>
                    <a:pt x="17" y="33"/>
                  </a:lnTo>
                  <a:lnTo>
                    <a:pt x="14" y="27"/>
                  </a:lnTo>
                  <a:lnTo>
                    <a:pt x="8" y="19"/>
                  </a:lnTo>
                  <a:lnTo>
                    <a:pt x="8" y="14"/>
                  </a:lnTo>
                  <a:lnTo>
                    <a:pt x="14" y="15"/>
                  </a:lnTo>
                  <a:lnTo>
                    <a:pt x="19" y="16"/>
                  </a:lnTo>
                  <a:lnTo>
                    <a:pt x="25" y="17"/>
                  </a:lnTo>
                  <a:lnTo>
                    <a:pt x="30" y="17"/>
                  </a:lnTo>
                  <a:lnTo>
                    <a:pt x="33" y="15"/>
                  </a:lnTo>
                  <a:lnTo>
                    <a:pt x="38" y="13"/>
                  </a:lnTo>
                  <a:lnTo>
                    <a:pt x="43" y="11"/>
                  </a:lnTo>
                  <a:lnTo>
                    <a:pt x="50" y="13"/>
                  </a:lnTo>
                  <a:lnTo>
                    <a:pt x="52" y="11"/>
                  </a:lnTo>
                  <a:lnTo>
                    <a:pt x="56" y="8"/>
                  </a:lnTo>
                  <a:lnTo>
                    <a:pt x="59" y="7"/>
                  </a:lnTo>
                  <a:lnTo>
                    <a:pt x="63" y="9"/>
                  </a:lnTo>
                  <a:lnTo>
                    <a:pt x="65" y="8"/>
                  </a:lnTo>
                  <a:lnTo>
                    <a:pt x="72" y="8"/>
                  </a:lnTo>
                  <a:lnTo>
                    <a:pt x="75" y="7"/>
                  </a:lnTo>
                  <a:lnTo>
                    <a:pt x="80" y="3"/>
                  </a:lnTo>
                  <a:lnTo>
                    <a:pt x="84" y="0"/>
                  </a:lnTo>
                  <a:lnTo>
                    <a:pt x="89" y="1"/>
                  </a:lnTo>
                  <a:lnTo>
                    <a:pt x="98" y="1"/>
                  </a:lnTo>
                  <a:lnTo>
                    <a:pt x="98" y="8"/>
                  </a:lnTo>
                  <a:lnTo>
                    <a:pt x="99" y="12"/>
                  </a:lnTo>
                  <a:lnTo>
                    <a:pt x="102" y="16"/>
                  </a:lnTo>
                  <a:lnTo>
                    <a:pt x="103" y="19"/>
                  </a:lnTo>
                  <a:lnTo>
                    <a:pt x="103" y="24"/>
                  </a:lnTo>
                  <a:lnTo>
                    <a:pt x="100" y="25"/>
                  </a:lnTo>
                  <a:lnTo>
                    <a:pt x="95" y="27"/>
                  </a:lnTo>
                  <a:lnTo>
                    <a:pt x="94" y="30"/>
                  </a:lnTo>
                  <a:lnTo>
                    <a:pt x="92" y="33"/>
                  </a:lnTo>
                  <a:lnTo>
                    <a:pt x="88" y="38"/>
                  </a:lnTo>
                  <a:lnTo>
                    <a:pt x="87" y="41"/>
                  </a:lnTo>
                  <a:lnTo>
                    <a:pt x="83" y="48"/>
                  </a:lnTo>
                  <a:lnTo>
                    <a:pt x="84" y="51"/>
                  </a:lnTo>
                  <a:lnTo>
                    <a:pt x="88" y="57"/>
                  </a:lnTo>
                  <a:lnTo>
                    <a:pt x="89" y="59"/>
                  </a:lnTo>
                  <a:lnTo>
                    <a:pt x="90" y="64"/>
                  </a:lnTo>
                  <a:lnTo>
                    <a:pt x="91" y="66"/>
                  </a:lnTo>
                  <a:lnTo>
                    <a:pt x="92" y="70"/>
                  </a:lnTo>
                  <a:lnTo>
                    <a:pt x="91" y="73"/>
                  </a:lnTo>
                  <a:lnTo>
                    <a:pt x="90" y="75"/>
                  </a:lnTo>
                  <a:lnTo>
                    <a:pt x="90" y="79"/>
                  </a:lnTo>
                  <a:lnTo>
                    <a:pt x="93" y="86"/>
                  </a:lnTo>
                  <a:lnTo>
                    <a:pt x="96" y="86"/>
                  </a:lnTo>
                  <a:lnTo>
                    <a:pt x="98" y="84"/>
                  </a:lnTo>
                  <a:lnTo>
                    <a:pt x="102" y="82"/>
                  </a:lnTo>
                  <a:lnTo>
                    <a:pt x="105" y="83"/>
                  </a:lnTo>
                  <a:lnTo>
                    <a:pt x="108" y="85"/>
                  </a:lnTo>
                  <a:lnTo>
                    <a:pt x="112" y="84"/>
                  </a:lnTo>
                  <a:lnTo>
                    <a:pt x="117" y="82"/>
                  </a:lnTo>
                  <a:lnTo>
                    <a:pt x="120" y="84"/>
                  </a:lnTo>
                  <a:lnTo>
                    <a:pt x="122" y="89"/>
                  </a:lnTo>
                  <a:lnTo>
                    <a:pt x="122" y="94"/>
                  </a:lnTo>
                  <a:lnTo>
                    <a:pt x="127" y="101"/>
                  </a:lnTo>
                  <a:lnTo>
                    <a:pt x="131" y="105"/>
                  </a:lnTo>
                  <a:lnTo>
                    <a:pt x="133" y="110"/>
                  </a:lnTo>
                  <a:lnTo>
                    <a:pt x="137" y="114"/>
                  </a:lnTo>
                  <a:lnTo>
                    <a:pt x="137" y="117"/>
                  </a:lnTo>
                  <a:lnTo>
                    <a:pt x="141" y="119"/>
                  </a:lnTo>
                  <a:lnTo>
                    <a:pt x="143" y="120"/>
                  </a:lnTo>
                  <a:close/>
                </a:path>
              </a:pathLst>
            </a:custGeom>
            <a:solidFill>
              <a:schemeClr val="accent4">
                <a:lumMod val="60000"/>
                <a:lumOff val="4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53" name="Freeform 37">
              <a:extLst>
                <a:ext uri="{FF2B5EF4-FFF2-40B4-BE49-F238E27FC236}">
                  <a16:creationId xmlns:a16="http://schemas.microsoft.com/office/drawing/2014/main" id="{00000000-0008-0000-0900-0000317E1200}"/>
                </a:ext>
              </a:extLst>
            </xdr:cNvPr>
            <xdr:cNvSpPr>
              <a:spLocks noChangeAspect="1"/>
            </xdr:cNvSpPr>
          </xdr:nvSpPr>
          <xdr:spPr bwMode="auto">
            <a:xfrm rot="238154">
              <a:off x="879" y="3171"/>
              <a:ext cx="189" cy="147"/>
            </a:xfrm>
            <a:custGeom>
              <a:avLst/>
              <a:gdLst>
                <a:gd name="T0" fmla="*/ 674 w 153"/>
                <a:gd name="T1" fmla="*/ 1048 h 118"/>
                <a:gd name="T2" fmla="*/ 631 w 153"/>
                <a:gd name="T3" fmla="*/ 1022 h 118"/>
                <a:gd name="T4" fmla="*/ 573 w 153"/>
                <a:gd name="T5" fmla="*/ 985 h 118"/>
                <a:gd name="T6" fmla="*/ 558 w 153"/>
                <a:gd name="T7" fmla="*/ 943 h 118"/>
                <a:gd name="T8" fmla="*/ 573 w 153"/>
                <a:gd name="T9" fmla="*/ 889 h 118"/>
                <a:gd name="T10" fmla="*/ 546 w 153"/>
                <a:gd name="T11" fmla="*/ 851 h 118"/>
                <a:gd name="T12" fmla="*/ 487 w 153"/>
                <a:gd name="T13" fmla="*/ 841 h 118"/>
                <a:gd name="T14" fmla="*/ 455 w 153"/>
                <a:gd name="T15" fmla="*/ 762 h 118"/>
                <a:gd name="T16" fmla="*/ 484 w 153"/>
                <a:gd name="T17" fmla="*/ 695 h 118"/>
                <a:gd name="T18" fmla="*/ 435 w 153"/>
                <a:gd name="T19" fmla="*/ 620 h 118"/>
                <a:gd name="T20" fmla="*/ 392 w 153"/>
                <a:gd name="T21" fmla="*/ 589 h 118"/>
                <a:gd name="T22" fmla="*/ 296 w 153"/>
                <a:gd name="T23" fmla="*/ 627 h 118"/>
                <a:gd name="T24" fmla="*/ 267 w 153"/>
                <a:gd name="T25" fmla="*/ 589 h 118"/>
                <a:gd name="T26" fmla="*/ 225 w 153"/>
                <a:gd name="T27" fmla="*/ 564 h 118"/>
                <a:gd name="T28" fmla="*/ 151 w 153"/>
                <a:gd name="T29" fmla="*/ 582 h 118"/>
                <a:gd name="T30" fmla="*/ 65 w 153"/>
                <a:gd name="T31" fmla="*/ 473 h 118"/>
                <a:gd name="T32" fmla="*/ 26 w 153"/>
                <a:gd name="T33" fmla="*/ 473 h 118"/>
                <a:gd name="T34" fmla="*/ 2 w 153"/>
                <a:gd name="T35" fmla="*/ 384 h 118"/>
                <a:gd name="T36" fmla="*/ 2 w 153"/>
                <a:gd name="T37" fmla="*/ 324 h 118"/>
                <a:gd name="T38" fmla="*/ 0 w 153"/>
                <a:gd name="T39" fmla="*/ 289 h 118"/>
                <a:gd name="T40" fmla="*/ 40 w 153"/>
                <a:gd name="T41" fmla="*/ 258 h 118"/>
                <a:gd name="T42" fmla="*/ 75 w 153"/>
                <a:gd name="T43" fmla="*/ 244 h 118"/>
                <a:gd name="T44" fmla="*/ 142 w 153"/>
                <a:gd name="T45" fmla="*/ 183 h 118"/>
                <a:gd name="T46" fmla="*/ 216 w 153"/>
                <a:gd name="T47" fmla="*/ 147 h 118"/>
                <a:gd name="T48" fmla="*/ 267 w 153"/>
                <a:gd name="T49" fmla="*/ 110 h 118"/>
                <a:gd name="T50" fmla="*/ 330 w 153"/>
                <a:gd name="T51" fmla="*/ 110 h 118"/>
                <a:gd name="T52" fmla="*/ 392 w 153"/>
                <a:gd name="T53" fmla="*/ 120 h 118"/>
                <a:gd name="T54" fmla="*/ 455 w 153"/>
                <a:gd name="T55" fmla="*/ 110 h 118"/>
                <a:gd name="T56" fmla="*/ 514 w 153"/>
                <a:gd name="T57" fmla="*/ 88 h 118"/>
                <a:gd name="T58" fmla="*/ 527 w 153"/>
                <a:gd name="T59" fmla="*/ 50 h 118"/>
                <a:gd name="T60" fmla="*/ 573 w 153"/>
                <a:gd name="T61" fmla="*/ 62 h 118"/>
                <a:gd name="T62" fmla="*/ 603 w 153"/>
                <a:gd name="T63" fmla="*/ 32 h 118"/>
                <a:gd name="T64" fmla="*/ 663 w 153"/>
                <a:gd name="T65" fmla="*/ 0 h 118"/>
                <a:gd name="T66" fmla="*/ 739 w 153"/>
                <a:gd name="T67" fmla="*/ 0 h 118"/>
                <a:gd name="T68" fmla="*/ 803 w 153"/>
                <a:gd name="T69" fmla="*/ 2 h 118"/>
                <a:gd name="T70" fmla="*/ 880 w 153"/>
                <a:gd name="T71" fmla="*/ 71 h 118"/>
                <a:gd name="T72" fmla="*/ 946 w 153"/>
                <a:gd name="T73" fmla="*/ 40 h 118"/>
                <a:gd name="T74" fmla="*/ 951 w 153"/>
                <a:gd name="T75" fmla="*/ 32 h 118"/>
                <a:gd name="T76" fmla="*/ 1128 w 153"/>
                <a:gd name="T77" fmla="*/ 0 h 118"/>
                <a:gd name="T78" fmla="*/ 1175 w 153"/>
                <a:gd name="T79" fmla="*/ 110 h 118"/>
                <a:gd name="T80" fmla="*/ 1135 w 153"/>
                <a:gd name="T81" fmla="*/ 265 h 118"/>
                <a:gd name="T82" fmla="*/ 1160 w 153"/>
                <a:gd name="T83" fmla="*/ 379 h 118"/>
                <a:gd name="T84" fmla="*/ 1219 w 153"/>
                <a:gd name="T85" fmla="*/ 498 h 118"/>
                <a:gd name="T86" fmla="*/ 1175 w 153"/>
                <a:gd name="T87" fmla="*/ 558 h 118"/>
                <a:gd name="T88" fmla="*/ 1244 w 153"/>
                <a:gd name="T89" fmla="*/ 620 h 118"/>
                <a:gd name="T90" fmla="*/ 1160 w 153"/>
                <a:gd name="T91" fmla="*/ 725 h 118"/>
                <a:gd name="T92" fmla="*/ 803 w 153"/>
                <a:gd name="T93" fmla="*/ 949 h 118"/>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0" t="0" r="r" b="b"/>
              <a:pathLst>
                <a:path w="153" h="118">
                  <a:moveTo>
                    <a:pt x="86" y="118"/>
                  </a:moveTo>
                  <a:lnTo>
                    <a:pt x="82" y="116"/>
                  </a:lnTo>
                  <a:lnTo>
                    <a:pt x="79" y="113"/>
                  </a:lnTo>
                  <a:lnTo>
                    <a:pt x="76" y="113"/>
                  </a:lnTo>
                  <a:lnTo>
                    <a:pt x="73" y="112"/>
                  </a:lnTo>
                  <a:lnTo>
                    <a:pt x="69" y="109"/>
                  </a:lnTo>
                  <a:lnTo>
                    <a:pt x="67" y="107"/>
                  </a:lnTo>
                  <a:lnTo>
                    <a:pt x="67" y="105"/>
                  </a:lnTo>
                  <a:lnTo>
                    <a:pt x="69" y="101"/>
                  </a:lnTo>
                  <a:lnTo>
                    <a:pt x="69" y="99"/>
                  </a:lnTo>
                  <a:lnTo>
                    <a:pt x="67" y="96"/>
                  </a:lnTo>
                  <a:lnTo>
                    <a:pt x="66" y="94"/>
                  </a:lnTo>
                  <a:lnTo>
                    <a:pt x="61" y="93"/>
                  </a:lnTo>
                  <a:lnTo>
                    <a:pt x="59" y="93"/>
                  </a:lnTo>
                  <a:lnTo>
                    <a:pt x="56" y="90"/>
                  </a:lnTo>
                  <a:lnTo>
                    <a:pt x="55" y="85"/>
                  </a:lnTo>
                  <a:lnTo>
                    <a:pt x="56" y="82"/>
                  </a:lnTo>
                  <a:lnTo>
                    <a:pt x="58" y="77"/>
                  </a:lnTo>
                  <a:lnTo>
                    <a:pt x="58" y="73"/>
                  </a:lnTo>
                  <a:lnTo>
                    <a:pt x="53" y="69"/>
                  </a:lnTo>
                  <a:lnTo>
                    <a:pt x="50" y="66"/>
                  </a:lnTo>
                  <a:lnTo>
                    <a:pt x="47" y="66"/>
                  </a:lnTo>
                  <a:lnTo>
                    <a:pt x="43" y="69"/>
                  </a:lnTo>
                  <a:lnTo>
                    <a:pt x="36" y="70"/>
                  </a:lnTo>
                  <a:lnTo>
                    <a:pt x="34" y="69"/>
                  </a:lnTo>
                  <a:lnTo>
                    <a:pt x="32" y="66"/>
                  </a:lnTo>
                  <a:lnTo>
                    <a:pt x="29" y="63"/>
                  </a:lnTo>
                  <a:lnTo>
                    <a:pt x="27" y="63"/>
                  </a:lnTo>
                  <a:lnTo>
                    <a:pt x="21" y="65"/>
                  </a:lnTo>
                  <a:lnTo>
                    <a:pt x="19" y="64"/>
                  </a:lnTo>
                  <a:lnTo>
                    <a:pt x="10" y="59"/>
                  </a:lnTo>
                  <a:lnTo>
                    <a:pt x="8" y="53"/>
                  </a:lnTo>
                  <a:lnTo>
                    <a:pt x="6" y="53"/>
                  </a:lnTo>
                  <a:lnTo>
                    <a:pt x="3" y="53"/>
                  </a:lnTo>
                  <a:lnTo>
                    <a:pt x="2" y="53"/>
                  </a:lnTo>
                  <a:lnTo>
                    <a:pt x="2" y="43"/>
                  </a:lnTo>
                  <a:lnTo>
                    <a:pt x="1" y="42"/>
                  </a:lnTo>
                  <a:lnTo>
                    <a:pt x="2" y="36"/>
                  </a:lnTo>
                  <a:lnTo>
                    <a:pt x="1" y="34"/>
                  </a:lnTo>
                  <a:lnTo>
                    <a:pt x="0" y="32"/>
                  </a:lnTo>
                  <a:lnTo>
                    <a:pt x="3" y="29"/>
                  </a:lnTo>
                  <a:lnTo>
                    <a:pt x="5" y="28"/>
                  </a:lnTo>
                  <a:lnTo>
                    <a:pt x="7" y="28"/>
                  </a:lnTo>
                  <a:lnTo>
                    <a:pt x="9" y="27"/>
                  </a:lnTo>
                  <a:lnTo>
                    <a:pt x="12" y="25"/>
                  </a:lnTo>
                  <a:lnTo>
                    <a:pt x="17" y="20"/>
                  </a:lnTo>
                  <a:lnTo>
                    <a:pt x="18" y="19"/>
                  </a:lnTo>
                  <a:lnTo>
                    <a:pt x="26" y="16"/>
                  </a:lnTo>
                  <a:lnTo>
                    <a:pt x="29" y="14"/>
                  </a:lnTo>
                  <a:lnTo>
                    <a:pt x="32" y="12"/>
                  </a:lnTo>
                  <a:lnTo>
                    <a:pt x="36" y="12"/>
                  </a:lnTo>
                  <a:lnTo>
                    <a:pt x="40" y="12"/>
                  </a:lnTo>
                  <a:lnTo>
                    <a:pt x="45" y="11"/>
                  </a:lnTo>
                  <a:lnTo>
                    <a:pt x="47" y="14"/>
                  </a:lnTo>
                  <a:lnTo>
                    <a:pt x="50" y="14"/>
                  </a:lnTo>
                  <a:lnTo>
                    <a:pt x="55" y="12"/>
                  </a:lnTo>
                  <a:lnTo>
                    <a:pt x="58" y="11"/>
                  </a:lnTo>
                  <a:lnTo>
                    <a:pt x="62" y="10"/>
                  </a:lnTo>
                  <a:lnTo>
                    <a:pt x="63" y="9"/>
                  </a:lnTo>
                  <a:lnTo>
                    <a:pt x="64" y="6"/>
                  </a:lnTo>
                  <a:lnTo>
                    <a:pt x="66" y="8"/>
                  </a:lnTo>
                  <a:lnTo>
                    <a:pt x="69" y="7"/>
                  </a:lnTo>
                  <a:lnTo>
                    <a:pt x="72" y="6"/>
                  </a:lnTo>
                  <a:lnTo>
                    <a:pt x="74" y="4"/>
                  </a:lnTo>
                  <a:lnTo>
                    <a:pt x="77" y="2"/>
                  </a:lnTo>
                  <a:lnTo>
                    <a:pt x="80" y="0"/>
                  </a:lnTo>
                  <a:lnTo>
                    <a:pt x="84" y="0"/>
                  </a:lnTo>
                  <a:lnTo>
                    <a:pt x="89" y="0"/>
                  </a:lnTo>
                  <a:lnTo>
                    <a:pt x="92" y="0"/>
                  </a:lnTo>
                  <a:lnTo>
                    <a:pt x="97" y="2"/>
                  </a:lnTo>
                  <a:lnTo>
                    <a:pt x="102" y="5"/>
                  </a:lnTo>
                  <a:lnTo>
                    <a:pt x="106" y="8"/>
                  </a:lnTo>
                  <a:lnTo>
                    <a:pt x="110" y="8"/>
                  </a:lnTo>
                  <a:lnTo>
                    <a:pt x="114" y="5"/>
                  </a:lnTo>
                  <a:lnTo>
                    <a:pt x="114" y="4"/>
                  </a:lnTo>
                  <a:lnTo>
                    <a:pt x="115" y="4"/>
                  </a:lnTo>
                  <a:lnTo>
                    <a:pt x="120" y="5"/>
                  </a:lnTo>
                  <a:lnTo>
                    <a:pt x="136" y="0"/>
                  </a:lnTo>
                  <a:lnTo>
                    <a:pt x="140" y="4"/>
                  </a:lnTo>
                  <a:lnTo>
                    <a:pt x="142" y="12"/>
                  </a:lnTo>
                  <a:lnTo>
                    <a:pt x="138" y="23"/>
                  </a:lnTo>
                  <a:lnTo>
                    <a:pt x="137" y="30"/>
                  </a:lnTo>
                  <a:lnTo>
                    <a:pt x="137" y="36"/>
                  </a:lnTo>
                  <a:lnTo>
                    <a:pt x="140" y="42"/>
                  </a:lnTo>
                  <a:lnTo>
                    <a:pt x="145" y="47"/>
                  </a:lnTo>
                  <a:lnTo>
                    <a:pt x="147" y="55"/>
                  </a:lnTo>
                  <a:lnTo>
                    <a:pt x="146" y="59"/>
                  </a:lnTo>
                  <a:lnTo>
                    <a:pt x="142" y="62"/>
                  </a:lnTo>
                  <a:lnTo>
                    <a:pt x="143" y="67"/>
                  </a:lnTo>
                  <a:lnTo>
                    <a:pt x="150" y="69"/>
                  </a:lnTo>
                  <a:lnTo>
                    <a:pt x="153" y="72"/>
                  </a:lnTo>
                  <a:lnTo>
                    <a:pt x="140" y="80"/>
                  </a:lnTo>
                  <a:lnTo>
                    <a:pt x="118" y="93"/>
                  </a:lnTo>
                  <a:lnTo>
                    <a:pt x="97" y="106"/>
                  </a:lnTo>
                  <a:lnTo>
                    <a:pt x="86" y="118"/>
                  </a:lnTo>
                  <a:close/>
                </a:path>
              </a:pathLst>
            </a:custGeom>
            <a:solidFill>
              <a:schemeClr val="accent5">
                <a:lumMod val="40000"/>
                <a:lumOff val="6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54" name="Freeform 38">
              <a:extLst>
                <a:ext uri="{FF2B5EF4-FFF2-40B4-BE49-F238E27FC236}">
                  <a16:creationId xmlns:a16="http://schemas.microsoft.com/office/drawing/2014/main" id="{00000000-0008-0000-0900-0000327E1200}"/>
                </a:ext>
              </a:extLst>
            </xdr:cNvPr>
            <xdr:cNvSpPr>
              <a:spLocks noChangeAspect="1"/>
            </xdr:cNvSpPr>
          </xdr:nvSpPr>
          <xdr:spPr bwMode="auto">
            <a:xfrm rot="238154">
              <a:off x="379" y="3006"/>
              <a:ext cx="254" cy="191"/>
            </a:xfrm>
            <a:custGeom>
              <a:avLst/>
              <a:gdLst>
                <a:gd name="T0" fmla="*/ 1738 w 205"/>
                <a:gd name="T1" fmla="*/ 706 h 155"/>
                <a:gd name="T2" fmla="*/ 1670 w 205"/>
                <a:gd name="T3" fmla="*/ 684 h 155"/>
                <a:gd name="T4" fmla="*/ 1647 w 205"/>
                <a:gd name="T5" fmla="*/ 636 h 155"/>
                <a:gd name="T6" fmla="*/ 1647 w 205"/>
                <a:gd name="T7" fmla="*/ 563 h 155"/>
                <a:gd name="T8" fmla="*/ 1606 w 205"/>
                <a:gd name="T9" fmla="*/ 483 h 155"/>
                <a:gd name="T10" fmla="*/ 1579 w 205"/>
                <a:gd name="T11" fmla="*/ 405 h 155"/>
                <a:gd name="T12" fmla="*/ 1530 w 205"/>
                <a:gd name="T13" fmla="*/ 340 h 155"/>
                <a:gd name="T14" fmla="*/ 1496 w 205"/>
                <a:gd name="T15" fmla="*/ 392 h 155"/>
                <a:gd name="T16" fmla="*/ 1496 w 205"/>
                <a:gd name="T17" fmla="*/ 478 h 155"/>
                <a:gd name="T18" fmla="*/ 1450 w 205"/>
                <a:gd name="T19" fmla="*/ 530 h 155"/>
                <a:gd name="T20" fmla="*/ 1419 w 205"/>
                <a:gd name="T21" fmla="*/ 542 h 155"/>
                <a:gd name="T22" fmla="*/ 1363 w 205"/>
                <a:gd name="T23" fmla="*/ 530 h 155"/>
                <a:gd name="T24" fmla="*/ 1322 w 205"/>
                <a:gd name="T25" fmla="*/ 563 h 155"/>
                <a:gd name="T26" fmla="*/ 1235 w 205"/>
                <a:gd name="T27" fmla="*/ 516 h 155"/>
                <a:gd name="T28" fmla="*/ 1256 w 205"/>
                <a:gd name="T29" fmla="*/ 440 h 155"/>
                <a:gd name="T30" fmla="*/ 1207 w 205"/>
                <a:gd name="T31" fmla="*/ 388 h 155"/>
                <a:gd name="T32" fmla="*/ 1132 w 205"/>
                <a:gd name="T33" fmla="*/ 371 h 155"/>
                <a:gd name="T34" fmla="*/ 1145 w 205"/>
                <a:gd name="T35" fmla="*/ 335 h 155"/>
                <a:gd name="T36" fmla="*/ 1131 w 205"/>
                <a:gd name="T37" fmla="*/ 281 h 155"/>
                <a:gd name="T38" fmla="*/ 1132 w 205"/>
                <a:gd name="T39" fmla="*/ 244 h 155"/>
                <a:gd name="T40" fmla="*/ 1181 w 205"/>
                <a:gd name="T41" fmla="*/ 179 h 155"/>
                <a:gd name="T42" fmla="*/ 1186 w 205"/>
                <a:gd name="T43" fmla="*/ 96 h 155"/>
                <a:gd name="T44" fmla="*/ 1181 w 205"/>
                <a:gd name="T45" fmla="*/ 0 h 155"/>
                <a:gd name="T46" fmla="*/ 978 w 205"/>
                <a:gd name="T47" fmla="*/ 32 h 155"/>
                <a:gd name="T48" fmla="*/ 810 w 205"/>
                <a:gd name="T49" fmla="*/ 169 h 155"/>
                <a:gd name="T50" fmla="*/ 528 w 205"/>
                <a:gd name="T51" fmla="*/ 335 h 155"/>
                <a:gd name="T52" fmla="*/ 420 w 205"/>
                <a:gd name="T53" fmla="*/ 340 h 155"/>
                <a:gd name="T54" fmla="*/ 278 w 205"/>
                <a:gd name="T55" fmla="*/ 272 h 155"/>
                <a:gd name="T56" fmla="*/ 136 w 205"/>
                <a:gd name="T57" fmla="*/ 290 h 155"/>
                <a:gd name="T58" fmla="*/ 209 w 205"/>
                <a:gd name="T59" fmla="*/ 340 h 155"/>
                <a:gd name="T60" fmla="*/ 71 w 205"/>
                <a:gd name="T61" fmla="*/ 365 h 155"/>
                <a:gd name="T62" fmla="*/ 26 w 205"/>
                <a:gd name="T63" fmla="*/ 426 h 155"/>
                <a:gd name="T64" fmla="*/ 77 w 205"/>
                <a:gd name="T65" fmla="*/ 573 h 155"/>
                <a:gd name="T66" fmla="*/ 2 w 205"/>
                <a:gd name="T67" fmla="*/ 599 h 155"/>
                <a:gd name="T68" fmla="*/ 50 w 205"/>
                <a:gd name="T69" fmla="*/ 796 h 155"/>
                <a:gd name="T70" fmla="*/ 32 w 205"/>
                <a:gd name="T71" fmla="*/ 903 h 155"/>
                <a:gd name="T72" fmla="*/ 40 w 205"/>
                <a:gd name="T73" fmla="*/ 934 h 155"/>
                <a:gd name="T74" fmla="*/ 71 w 205"/>
                <a:gd name="T75" fmla="*/ 934 h 155"/>
                <a:gd name="T76" fmla="*/ 88 w 205"/>
                <a:gd name="T77" fmla="*/ 903 h 155"/>
                <a:gd name="T78" fmla="*/ 149 w 205"/>
                <a:gd name="T79" fmla="*/ 845 h 155"/>
                <a:gd name="T80" fmla="*/ 229 w 205"/>
                <a:gd name="T81" fmla="*/ 796 h 155"/>
                <a:gd name="T82" fmla="*/ 379 w 205"/>
                <a:gd name="T83" fmla="*/ 953 h 155"/>
                <a:gd name="T84" fmla="*/ 520 w 205"/>
                <a:gd name="T85" fmla="*/ 1006 h 155"/>
                <a:gd name="T86" fmla="*/ 634 w 205"/>
                <a:gd name="T87" fmla="*/ 934 h 155"/>
                <a:gd name="T88" fmla="*/ 893 w 205"/>
                <a:gd name="T89" fmla="*/ 909 h 155"/>
                <a:gd name="T90" fmla="*/ 1085 w 205"/>
                <a:gd name="T91" fmla="*/ 876 h 155"/>
                <a:gd name="T92" fmla="*/ 1256 w 205"/>
                <a:gd name="T93" fmla="*/ 1045 h 155"/>
                <a:gd name="T94" fmla="*/ 1541 w 205"/>
                <a:gd name="T95" fmla="*/ 1250 h 155"/>
                <a:gd name="T96" fmla="*/ 1576 w 205"/>
                <a:gd name="T97" fmla="*/ 1210 h 155"/>
                <a:gd name="T98" fmla="*/ 1556 w 205"/>
                <a:gd name="T99" fmla="*/ 1137 h 155"/>
                <a:gd name="T100" fmla="*/ 1560 w 205"/>
                <a:gd name="T101" fmla="*/ 1103 h 155"/>
                <a:gd name="T102" fmla="*/ 1597 w 205"/>
                <a:gd name="T103" fmla="*/ 1100 h 155"/>
                <a:gd name="T104" fmla="*/ 1617 w 205"/>
                <a:gd name="T105" fmla="*/ 1113 h 155"/>
                <a:gd name="T106" fmla="*/ 1649 w 205"/>
                <a:gd name="T107" fmla="*/ 1091 h 155"/>
                <a:gd name="T108" fmla="*/ 1670 w 205"/>
                <a:gd name="T109" fmla="*/ 1045 h 155"/>
                <a:gd name="T110" fmla="*/ 1676 w 205"/>
                <a:gd name="T111" fmla="*/ 941 h 155"/>
                <a:gd name="T112" fmla="*/ 1720 w 205"/>
                <a:gd name="T113" fmla="*/ 797 h 155"/>
                <a:gd name="T114" fmla="*/ 1746 w 205"/>
                <a:gd name="T115" fmla="*/ 707 h 155"/>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0" t="0" r="r" b="b"/>
              <a:pathLst>
                <a:path w="205" h="155">
                  <a:moveTo>
                    <a:pt x="205" y="88"/>
                  </a:moveTo>
                  <a:lnTo>
                    <a:pt x="204" y="87"/>
                  </a:lnTo>
                  <a:lnTo>
                    <a:pt x="201" y="86"/>
                  </a:lnTo>
                  <a:lnTo>
                    <a:pt x="196" y="84"/>
                  </a:lnTo>
                  <a:lnTo>
                    <a:pt x="194" y="82"/>
                  </a:lnTo>
                  <a:lnTo>
                    <a:pt x="193" y="79"/>
                  </a:lnTo>
                  <a:lnTo>
                    <a:pt x="194" y="73"/>
                  </a:lnTo>
                  <a:lnTo>
                    <a:pt x="193" y="70"/>
                  </a:lnTo>
                  <a:lnTo>
                    <a:pt x="192" y="66"/>
                  </a:lnTo>
                  <a:lnTo>
                    <a:pt x="188" y="60"/>
                  </a:lnTo>
                  <a:lnTo>
                    <a:pt x="186" y="57"/>
                  </a:lnTo>
                  <a:lnTo>
                    <a:pt x="186" y="50"/>
                  </a:lnTo>
                  <a:lnTo>
                    <a:pt x="185" y="39"/>
                  </a:lnTo>
                  <a:lnTo>
                    <a:pt x="180" y="42"/>
                  </a:lnTo>
                  <a:lnTo>
                    <a:pt x="177" y="46"/>
                  </a:lnTo>
                  <a:lnTo>
                    <a:pt x="175" y="49"/>
                  </a:lnTo>
                  <a:lnTo>
                    <a:pt x="176" y="54"/>
                  </a:lnTo>
                  <a:lnTo>
                    <a:pt x="175" y="59"/>
                  </a:lnTo>
                  <a:lnTo>
                    <a:pt x="173" y="62"/>
                  </a:lnTo>
                  <a:lnTo>
                    <a:pt x="170" y="66"/>
                  </a:lnTo>
                  <a:lnTo>
                    <a:pt x="169" y="68"/>
                  </a:lnTo>
                  <a:lnTo>
                    <a:pt x="166" y="67"/>
                  </a:lnTo>
                  <a:lnTo>
                    <a:pt x="164" y="66"/>
                  </a:lnTo>
                  <a:lnTo>
                    <a:pt x="160" y="66"/>
                  </a:lnTo>
                  <a:lnTo>
                    <a:pt x="157" y="69"/>
                  </a:lnTo>
                  <a:lnTo>
                    <a:pt x="155" y="70"/>
                  </a:lnTo>
                  <a:lnTo>
                    <a:pt x="152" y="69"/>
                  </a:lnTo>
                  <a:lnTo>
                    <a:pt x="145" y="64"/>
                  </a:lnTo>
                  <a:lnTo>
                    <a:pt x="145" y="59"/>
                  </a:lnTo>
                  <a:lnTo>
                    <a:pt x="147" y="54"/>
                  </a:lnTo>
                  <a:lnTo>
                    <a:pt x="148" y="50"/>
                  </a:lnTo>
                  <a:lnTo>
                    <a:pt x="141" y="48"/>
                  </a:lnTo>
                  <a:lnTo>
                    <a:pt x="136" y="47"/>
                  </a:lnTo>
                  <a:lnTo>
                    <a:pt x="133" y="46"/>
                  </a:lnTo>
                  <a:lnTo>
                    <a:pt x="133" y="43"/>
                  </a:lnTo>
                  <a:lnTo>
                    <a:pt x="134" y="41"/>
                  </a:lnTo>
                  <a:lnTo>
                    <a:pt x="131" y="39"/>
                  </a:lnTo>
                  <a:lnTo>
                    <a:pt x="132" y="35"/>
                  </a:lnTo>
                  <a:lnTo>
                    <a:pt x="134" y="31"/>
                  </a:lnTo>
                  <a:lnTo>
                    <a:pt x="133" y="30"/>
                  </a:lnTo>
                  <a:lnTo>
                    <a:pt x="134" y="26"/>
                  </a:lnTo>
                  <a:lnTo>
                    <a:pt x="138" y="22"/>
                  </a:lnTo>
                  <a:lnTo>
                    <a:pt x="140" y="16"/>
                  </a:lnTo>
                  <a:lnTo>
                    <a:pt x="140" y="12"/>
                  </a:lnTo>
                  <a:lnTo>
                    <a:pt x="138" y="5"/>
                  </a:lnTo>
                  <a:lnTo>
                    <a:pt x="138" y="0"/>
                  </a:lnTo>
                  <a:lnTo>
                    <a:pt x="122" y="1"/>
                  </a:lnTo>
                  <a:lnTo>
                    <a:pt x="115" y="4"/>
                  </a:lnTo>
                  <a:lnTo>
                    <a:pt x="101" y="17"/>
                  </a:lnTo>
                  <a:lnTo>
                    <a:pt x="95" y="21"/>
                  </a:lnTo>
                  <a:lnTo>
                    <a:pt x="81" y="36"/>
                  </a:lnTo>
                  <a:lnTo>
                    <a:pt x="62" y="41"/>
                  </a:lnTo>
                  <a:lnTo>
                    <a:pt x="54" y="42"/>
                  </a:lnTo>
                  <a:lnTo>
                    <a:pt x="49" y="42"/>
                  </a:lnTo>
                  <a:lnTo>
                    <a:pt x="43" y="38"/>
                  </a:lnTo>
                  <a:lnTo>
                    <a:pt x="32" y="33"/>
                  </a:lnTo>
                  <a:lnTo>
                    <a:pt x="16" y="33"/>
                  </a:lnTo>
                  <a:lnTo>
                    <a:pt x="16" y="36"/>
                  </a:lnTo>
                  <a:lnTo>
                    <a:pt x="25" y="38"/>
                  </a:lnTo>
                  <a:lnTo>
                    <a:pt x="25" y="42"/>
                  </a:lnTo>
                  <a:lnTo>
                    <a:pt x="17" y="43"/>
                  </a:lnTo>
                  <a:lnTo>
                    <a:pt x="8" y="45"/>
                  </a:lnTo>
                  <a:lnTo>
                    <a:pt x="5" y="48"/>
                  </a:lnTo>
                  <a:lnTo>
                    <a:pt x="3" y="53"/>
                  </a:lnTo>
                  <a:lnTo>
                    <a:pt x="6" y="58"/>
                  </a:lnTo>
                  <a:lnTo>
                    <a:pt x="9" y="71"/>
                  </a:lnTo>
                  <a:lnTo>
                    <a:pt x="4" y="74"/>
                  </a:lnTo>
                  <a:lnTo>
                    <a:pt x="2" y="75"/>
                  </a:lnTo>
                  <a:lnTo>
                    <a:pt x="0" y="80"/>
                  </a:lnTo>
                  <a:lnTo>
                    <a:pt x="6" y="98"/>
                  </a:lnTo>
                  <a:lnTo>
                    <a:pt x="6" y="105"/>
                  </a:lnTo>
                  <a:lnTo>
                    <a:pt x="4" y="112"/>
                  </a:lnTo>
                  <a:lnTo>
                    <a:pt x="3" y="115"/>
                  </a:lnTo>
                  <a:lnTo>
                    <a:pt x="5" y="116"/>
                  </a:lnTo>
                  <a:lnTo>
                    <a:pt x="6" y="117"/>
                  </a:lnTo>
                  <a:lnTo>
                    <a:pt x="8" y="116"/>
                  </a:lnTo>
                  <a:lnTo>
                    <a:pt x="9" y="114"/>
                  </a:lnTo>
                  <a:lnTo>
                    <a:pt x="10" y="112"/>
                  </a:lnTo>
                  <a:lnTo>
                    <a:pt x="14" y="110"/>
                  </a:lnTo>
                  <a:lnTo>
                    <a:pt x="18" y="105"/>
                  </a:lnTo>
                  <a:lnTo>
                    <a:pt x="24" y="99"/>
                  </a:lnTo>
                  <a:lnTo>
                    <a:pt x="27" y="98"/>
                  </a:lnTo>
                  <a:lnTo>
                    <a:pt x="34" y="103"/>
                  </a:lnTo>
                  <a:lnTo>
                    <a:pt x="45" y="118"/>
                  </a:lnTo>
                  <a:lnTo>
                    <a:pt x="51" y="122"/>
                  </a:lnTo>
                  <a:lnTo>
                    <a:pt x="61" y="124"/>
                  </a:lnTo>
                  <a:lnTo>
                    <a:pt x="69" y="120"/>
                  </a:lnTo>
                  <a:lnTo>
                    <a:pt x="74" y="116"/>
                  </a:lnTo>
                  <a:lnTo>
                    <a:pt x="83" y="114"/>
                  </a:lnTo>
                  <a:lnTo>
                    <a:pt x="105" y="113"/>
                  </a:lnTo>
                  <a:lnTo>
                    <a:pt x="114" y="111"/>
                  </a:lnTo>
                  <a:lnTo>
                    <a:pt x="127" y="109"/>
                  </a:lnTo>
                  <a:lnTo>
                    <a:pt x="134" y="114"/>
                  </a:lnTo>
                  <a:lnTo>
                    <a:pt x="147" y="130"/>
                  </a:lnTo>
                  <a:lnTo>
                    <a:pt x="175" y="154"/>
                  </a:lnTo>
                  <a:lnTo>
                    <a:pt x="181" y="155"/>
                  </a:lnTo>
                  <a:lnTo>
                    <a:pt x="185" y="154"/>
                  </a:lnTo>
                  <a:lnTo>
                    <a:pt x="185" y="150"/>
                  </a:lnTo>
                  <a:lnTo>
                    <a:pt x="183" y="145"/>
                  </a:lnTo>
                  <a:lnTo>
                    <a:pt x="182" y="141"/>
                  </a:lnTo>
                  <a:lnTo>
                    <a:pt x="182" y="139"/>
                  </a:lnTo>
                  <a:lnTo>
                    <a:pt x="183" y="137"/>
                  </a:lnTo>
                  <a:lnTo>
                    <a:pt x="185" y="136"/>
                  </a:lnTo>
                  <a:lnTo>
                    <a:pt x="187" y="136"/>
                  </a:lnTo>
                  <a:lnTo>
                    <a:pt x="188" y="137"/>
                  </a:lnTo>
                  <a:lnTo>
                    <a:pt x="190" y="138"/>
                  </a:lnTo>
                  <a:lnTo>
                    <a:pt x="192" y="137"/>
                  </a:lnTo>
                  <a:lnTo>
                    <a:pt x="194" y="135"/>
                  </a:lnTo>
                  <a:lnTo>
                    <a:pt x="196" y="132"/>
                  </a:lnTo>
                  <a:lnTo>
                    <a:pt x="196" y="130"/>
                  </a:lnTo>
                  <a:lnTo>
                    <a:pt x="196" y="124"/>
                  </a:lnTo>
                  <a:lnTo>
                    <a:pt x="197" y="117"/>
                  </a:lnTo>
                  <a:lnTo>
                    <a:pt x="198" y="109"/>
                  </a:lnTo>
                  <a:lnTo>
                    <a:pt x="201" y="99"/>
                  </a:lnTo>
                  <a:lnTo>
                    <a:pt x="204" y="89"/>
                  </a:lnTo>
                  <a:lnTo>
                    <a:pt x="205" y="88"/>
                  </a:lnTo>
                  <a:close/>
                </a:path>
              </a:pathLst>
            </a:custGeom>
            <a:solidFill>
              <a:schemeClr val="accent5">
                <a:lumMod val="40000"/>
                <a:lumOff val="6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55" name="Freeform 39">
              <a:extLst>
                <a:ext uri="{FF2B5EF4-FFF2-40B4-BE49-F238E27FC236}">
                  <a16:creationId xmlns:a16="http://schemas.microsoft.com/office/drawing/2014/main" id="{00000000-0008-0000-0900-0000337E1200}"/>
                </a:ext>
              </a:extLst>
            </xdr:cNvPr>
            <xdr:cNvSpPr>
              <a:spLocks noChangeAspect="1"/>
            </xdr:cNvSpPr>
          </xdr:nvSpPr>
          <xdr:spPr bwMode="auto">
            <a:xfrm rot="238154">
              <a:off x="610" y="3173"/>
              <a:ext cx="43" cy="25"/>
            </a:xfrm>
            <a:custGeom>
              <a:avLst/>
              <a:gdLst>
                <a:gd name="T0" fmla="*/ 39 w 35"/>
                <a:gd name="T1" fmla="*/ 49 h 20"/>
                <a:gd name="T2" fmla="*/ 48 w 35"/>
                <a:gd name="T3" fmla="*/ 39 h 20"/>
                <a:gd name="T4" fmla="*/ 48 w 35"/>
                <a:gd name="T5" fmla="*/ 25 h 20"/>
                <a:gd name="T6" fmla="*/ 48 w 35"/>
                <a:gd name="T7" fmla="*/ 1 h 20"/>
                <a:gd name="T8" fmla="*/ 59 w 35"/>
                <a:gd name="T9" fmla="*/ 0 h 20"/>
                <a:gd name="T10" fmla="*/ 61 w 35"/>
                <a:gd name="T11" fmla="*/ 0 h 20"/>
                <a:gd name="T12" fmla="*/ 72 w 35"/>
                <a:gd name="T13" fmla="*/ 0 h 20"/>
                <a:gd name="T14" fmla="*/ 88 w 35"/>
                <a:gd name="T15" fmla="*/ 1 h 20"/>
                <a:gd name="T16" fmla="*/ 92 w 35"/>
                <a:gd name="T17" fmla="*/ 25 h 20"/>
                <a:gd name="T18" fmla="*/ 108 w 35"/>
                <a:gd name="T19" fmla="*/ 31 h 20"/>
                <a:gd name="T20" fmla="*/ 113 w 35"/>
                <a:gd name="T21" fmla="*/ 31 h 20"/>
                <a:gd name="T22" fmla="*/ 133 w 35"/>
                <a:gd name="T23" fmla="*/ 39 h 20"/>
                <a:gd name="T24" fmla="*/ 161 w 35"/>
                <a:gd name="T25" fmla="*/ 49 h 20"/>
                <a:gd name="T26" fmla="*/ 171 w 35"/>
                <a:gd name="T27" fmla="*/ 61 h 20"/>
                <a:gd name="T28" fmla="*/ 198 w 35"/>
                <a:gd name="T29" fmla="*/ 61 h 20"/>
                <a:gd name="T30" fmla="*/ 220 w 35"/>
                <a:gd name="T31" fmla="*/ 61 h 20"/>
                <a:gd name="T32" fmla="*/ 229 w 35"/>
                <a:gd name="T33" fmla="*/ 49 h 20"/>
                <a:gd name="T34" fmla="*/ 243 w 35"/>
                <a:gd name="T35" fmla="*/ 49 h 20"/>
                <a:gd name="T36" fmla="*/ 258 w 35"/>
                <a:gd name="T37" fmla="*/ 39 h 20"/>
                <a:gd name="T38" fmla="*/ 270 w 35"/>
                <a:gd name="T39" fmla="*/ 31 h 20"/>
                <a:gd name="T40" fmla="*/ 270 w 35"/>
                <a:gd name="T41" fmla="*/ 31 h 20"/>
                <a:gd name="T42" fmla="*/ 273 w 35"/>
                <a:gd name="T43" fmla="*/ 49 h 20"/>
                <a:gd name="T44" fmla="*/ 273 w 35"/>
                <a:gd name="T45" fmla="*/ 61 h 20"/>
                <a:gd name="T46" fmla="*/ 273 w 35"/>
                <a:gd name="T47" fmla="*/ 76 h 20"/>
                <a:gd name="T48" fmla="*/ 270 w 35"/>
                <a:gd name="T49" fmla="*/ 95 h 20"/>
                <a:gd name="T50" fmla="*/ 270 w 35"/>
                <a:gd name="T51" fmla="*/ 110 h 20"/>
                <a:gd name="T52" fmla="*/ 246 w 35"/>
                <a:gd name="T53" fmla="*/ 118 h 20"/>
                <a:gd name="T54" fmla="*/ 229 w 35"/>
                <a:gd name="T55" fmla="*/ 138 h 20"/>
                <a:gd name="T56" fmla="*/ 200 w 35"/>
                <a:gd name="T57" fmla="*/ 156 h 20"/>
                <a:gd name="T58" fmla="*/ 171 w 35"/>
                <a:gd name="T59" fmla="*/ 185 h 20"/>
                <a:gd name="T60" fmla="*/ 163 w 35"/>
                <a:gd name="T61" fmla="*/ 185 h 20"/>
                <a:gd name="T62" fmla="*/ 139 w 35"/>
                <a:gd name="T63" fmla="*/ 185 h 20"/>
                <a:gd name="T64" fmla="*/ 113 w 35"/>
                <a:gd name="T65" fmla="*/ 186 h 20"/>
                <a:gd name="T66" fmla="*/ 92 w 35"/>
                <a:gd name="T67" fmla="*/ 186 h 20"/>
                <a:gd name="T68" fmla="*/ 75 w 35"/>
                <a:gd name="T69" fmla="*/ 185 h 20"/>
                <a:gd name="T70" fmla="*/ 48 w 35"/>
                <a:gd name="T71" fmla="*/ 185 h 20"/>
                <a:gd name="T72" fmla="*/ 26 w 35"/>
                <a:gd name="T73" fmla="*/ 185 h 20"/>
                <a:gd name="T74" fmla="*/ 1 w 35"/>
                <a:gd name="T75" fmla="*/ 185 h 20"/>
                <a:gd name="T76" fmla="*/ 0 w 35"/>
                <a:gd name="T77" fmla="*/ 173 h 20"/>
                <a:gd name="T78" fmla="*/ 0 w 35"/>
                <a:gd name="T79" fmla="*/ 156 h 20"/>
                <a:gd name="T80" fmla="*/ 0 w 35"/>
                <a:gd name="T81" fmla="*/ 149 h 20"/>
                <a:gd name="T82" fmla="*/ 1 w 35"/>
                <a:gd name="T83" fmla="*/ 148 h 20"/>
                <a:gd name="T84" fmla="*/ 2 w 35"/>
                <a:gd name="T85" fmla="*/ 119 h 20"/>
                <a:gd name="T86" fmla="*/ 32 w 35"/>
                <a:gd name="T87" fmla="*/ 118 h 20"/>
                <a:gd name="T88" fmla="*/ 32 w 35"/>
                <a:gd name="T89" fmla="*/ 95 h 20"/>
                <a:gd name="T90" fmla="*/ 39 w 35"/>
                <a:gd name="T91" fmla="*/ 76 h 20"/>
                <a:gd name="T92" fmla="*/ 39 w 35"/>
                <a:gd name="T93" fmla="*/ 70 h 20"/>
                <a:gd name="T94" fmla="*/ 39 w 35"/>
                <a:gd name="T95" fmla="*/ 49 h 20"/>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0" t="0" r="r" b="b"/>
              <a:pathLst>
                <a:path w="35" h="20">
                  <a:moveTo>
                    <a:pt x="5" y="5"/>
                  </a:moveTo>
                  <a:lnTo>
                    <a:pt x="6" y="4"/>
                  </a:lnTo>
                  <a:lnTo>
                    <a:pt x="6" y="2"/>
                  </a:lnTo>
                  <a:lnTo>
                    <a:pt x="6" y="1"/>
                  </a:lnTo>
                  <a:lnTo>
                    <a:pt x="7" y="0"/>
                  </a:lnTo>
                  <a:lnTo>
                    <a:pt x="8" y="0"/>
                  </a:lnTo>
                  <a:lnTo>
                    <a:pt x="9" y="0"/>
                  </a:lnTo>
                  <a:lnTo>
                    <a:pt x="11" y="1"/>
                  </a:lnTo>
                  <a:lnTo>
                    <a:pt x="12" y="2"/>
                  </a:lnTo>
                  <a:lnTo>
                    <a:pt x="14" y="3"/>
                  </a:lnTo>
                  <a:lnTo>
                    <a:pt x="15" y="3"/>
                  </a:lnTo>
                  <a:lnTo>
                    <a:pt x="17" y="4"/>
                  </a:lnTo>
                  <a:lnTo>
                    <a:pt x="20" y="5"/>
                  </a:lnTo>
                  <a:lnTo>
                    <a:pt x="22" y="6"/>
                  </a:lnTo>
                  <a:lnTo>
                    <a:pt x="25" y="6"/>
                  </a:lnTo>
                  <a:lnTo>
                    <a:pt x="28" y="6"/>
                  </a:lnTo>
                  <a:lnTo>
                    <a:pt x="29" y="5"/>
                  </a:lnTo>
                  <a:lnTo>
                    <a:pt x="31" y="5"/>
                  </a:lnTo>
                  <a:lnTo>
                    <a:pt x="33" y="4"/>
                  </a:lnTo>
                  <a:lnTo>
                    <a:pt x="34" y="3"/>
                  </a:lnTo>
                  <a:lnTo>
                    <a:pt x="35" y="5"/>
                  </a:lnTo>
                  <a:lnTo>
                    <a:pt x="35" y="6"/>
                  </a:lnTo>
                  <a:lnTo>
                    <a:pt x="35" y="8"/>
                  </a:lnTo>
                  <a:lnTo>
                    <a:pt x="34" y="10"/>
                  </a:lnTo>
                  <a:lnTo>
                    <a:pt x="34" y="11"/>
                  </a:lnTo>
                  <a:lnTo>
                    <a:pt x="32" y="12"/>
                  </a:lnTo>
                  <a:lnTo>
                    <a:pt x="29" y="14"/>
                  </a:lnTo>
                  <a:lnTo>
                    <a:pt x="26" y="17"/>
                  </a:lnTo>
                  <a:lnTo>
                    <a:pt x="22" y="19"/>
                  </a:lnTo>
                  <a:lnTo>
                    <a:pt x="21" y="19"/>
                  </a:lnTo>
                  <a:lnTo>
                    <a:pt x="18" y="19"/>
                  </a:lnTo>
                  <a:lnTo>
                    <a:pt x="15" y="20"/>
                  </a:lnTo>
                  <a:lnTo>
                    <a:pt x="12" y="20"/>
                  </a:lnTo>
                  <a:lnTo>
                    <a:pt x="10" y="19"/>
                  </a:lnTo>
                  <a:lnTo>
                    <a:pt x="6" y="19"/>
                  </a:lnTo>
                  <a:lnTo>
                    <a:pt x="3" y="19"/>
                  </a:lnTo>
                  <a:lnTo>
                    <a:pt x="1" y="19"/>
                  </a:lnTo>
                  <a:lnTo>
                    <a:pt x="0" y="18"/>
                  </a:lnTo>
                  <a:lnTo>
                    <a:pt x="0" y="17"/>
                  </a:lnTo>
                  <a:lnTo>
                    <a:pt x="0" y="16"/>
                  </a:lnTo>
                  <a:lnTo>
                    <a:pt x="1" y="15"/>
                  </a:lnTo>
                  <a:lnTo>
                    <a:pt x="2" y="13"/>
                  </a:lnTo>
                  <a:lnTo>
                    <a:pt x="4" y="12"/>
                  </a:lnTo>
                  <a:lnTo>
                    <a:pt x="4" y="10"/>
                  </a:lnTo>
                  <a:lnTo>
                    <a:pt x="5" y="8"/>
                  </a:lnTo>
                  <a:lnTo>
                    <a:pt x="5" y="7"/>
                  </a:lnTo>
                  <a:lnTo>
                    <a:pt x="5" y="5"/>
                  </a:lnTo>
                  <a:close/>
                </a:path>
              </a:pathLst>
            </a:custGeom>
            <a:solidFill>
              <a:schemeClr val="accent5">
                <a:lumMod val="40000"/>
                <a:lumOff val="60000"/>
              </a:schemeClr>
            </a:solidFill>
            <a:ln>
              <a:noFill/>
            </a:ln>
            <a:extLst>
              <a:ext uri="{91240B29-F687-4F45-9708-019B960494DF}">
                <a14:hiddenLine xmlns:a14="http://schemas.microsoft.com/office/drawing/2010/main" w="12700">
                  <a:solidFill>
                    <a:srgbClr val="000000"/>
                  </a:solidFill>
                  <a:prstDash val="solid"/>
                  <a:round/>
                  <a:headEnd/>
                  <a:tailEnd/>
                </a14:hiddenLine>
              </a:ext>
            </a:extLst>
          </xdr:spPr>
        </xdr:sp>
        <xdr:sp macro="" textlink="">
          <xdr:nvSpPr>
            <xdr:cNvPr id="1211956" name="Freeform 40">
              <a:extLst>
                <a:ext uri="{FF2B5EF4-FFF2-40B4-BE49-F238E27FC236}">
                  <a16:creationId xmlns:a16="http://schemas.microsoft.com/office/drawing/2014/main" id="{00000000-0008-0000-0900-0000347E1200}"/>
                </a:ext>
              </a:extLst>
            </xdr:cNvPr>
            <xdr:cNvSpPr>
              <a:spLocks noChangeAspect="1"/>
            </xdr:cNvSpPr>
          </xdr:nvSpPr>
          <xdr:spPr bwMode="auto">
            <a:xfrm rot="238154">
              <a:off x="815" y="2870"/>
              <a:ext cx="244" cy="111"/>
            </a:xfrm>
            <a:custGeom>
              <a:avLst/>
              <a:gdLst>
                <a:gd name="T0" fmla="*/ 198 w 198"/>
                <a:gd name="T1" fmla="*/ 705 h 90"/>
                <a:gd name="T2" fmla="*/ 118 w 198"/>
                <a:gd name="T3" fmla="*/ 667 h 90"/>
                <a:gd name="T4" fmla="*/ 0 w 198"/>
                <a:gd name="T5" fmla="*/ 673 h 90"/>
                <a:gd name="T6" fmla="*/ 48 w 198"/>
                <a:gd name="T7" fmla="*/ 572 h 90"/>
                <a:gd name="T8" fmla="*/ 78 w 198"/>
                <a:gd name="T9" fmla="*/ 535 h 90"/>
                <a:gd name="T10" fmla="*/ 90 w 198"/>
                <a:gd name="T11" fmla="*/ 464 h 90"/>
                <a:gd name="T12" fmla="*/ 145 w 198"/>
                <a:gd name="T13" fmla="*/ 456 h 90"/>
                <a:gd name="T14" fmla="*/ 185 w 198"/>
                <a:gd name="T15" fmla="*/ 451 h 90"/>
                <a:gd name="T16" fmla="*/ 235 w 198"/>
                <a:gd name="T17" fmla="*/ 370 h 90"/>
                <a:gd name="T18" fmla="*/ 235 w 198"/>
                <a:gd name="T19" fmla="*/ 291 h 90"/>
                <a:gd name="T20" fmla="*/ 248 w 198"/>
                <a:gd name="T21" fmla="*/ 236 h 90"/>
                <a:gd name="T22" fmla="*/ 244 w 198"/>
                <a:gd name="T23" fmla="*/ 207 h 90"/>
                <a:gd name="T24" fmla="*/ 235 w 198"/>
                <a:gd name="T25" fmla="*/ 169 h 90"/>
                <a:gd name="T26" fmla="*/ 301 w 198"/>
                <a:gd name="T27" fmla="*/ 146 h 90"/>
                <a:gd name="T28" fmla="*/ 405 w 198"/>
                <a:gd name="T29" fmla="*/ 122 h 90"/>
                <a:gd name="T30" fmla="*/ 588 w 198"/>
                <a:gd name="T31" fmla="*/ 65 h 90"/>
                <a:gd name="T32" fmla="*/ 843 w 198"/>
                <a:gd name="T33" fmla="*/ 136 h 90"/>
                <a:gd name="T34" fmla="*/ 1014 w 198"/>
                <a:gd name="T35" fmla="*/ 111 h 90"/>
                <a:gd name="T36" fmla="*/ 1344 w 198"/>
                <a:gd name="T37" fmla="*/ 110 h 90"/>
                <a:gd name="T38" fmla="*/ 1528 w 198"/>
                <a:gd name="T39" fmla="*/ 0 h 90"/>
                <a:gd name="T40" fmla="*/ 1540 w 198"/>
                <a:gd name="T41" fmla="*/ 59 h 90"/>
                <a:gd name="T42" fmla="*/ 1531 w 198"/>
                <a:gd name="T43" fmla="*/ 122 h 90"/>
                <a:gd name="T44" fmla="*/ 1540 w 198"/>
                <a:gd name="T45" fmla="*/ 207 h 90"/>
                <a:gd name="T46" fmla="*/ 1587 w 198"/>
                <a:gd name="T47" fmla="*/ 317 h 90"/>
                <a:gd name="T48" fmla="*/ 1587 w 198"/>
                <a:gd name="T49" fmla="*/ 408 h 90"/>
                <a:gd name="T50" fmla="*/ 1601 w 198"/>
                <a:gd name="T51" fmla="*/ 503 h 90"/>
                <a:gd name="T52" fmla="*/ 1577 w 198"/>
                <a:gd name="T53" fmla="*/ 572 h 90"/>
                <a:gd name="T54" fmla="*/ 1503 w 198"/>
                <a:gd name="T55" fmla="*/ 598 h 90"/>
                <a:gd name="T56" fmla="*/ 1465 w 198"/>
                <a:gd name="T57" fmla="*/ 598 h 90"/>
                <a:gd name="T58" fmla="*/ 1393 w 198"/>
                <a:gd name="T59" fmla="*/ 620 h 90"/>
                <a:gd name="T60" fmla="*/ 1307 w 198"/>
                <a:gd name="T61" fmla="*/ 651 h 90"/>
                <a:gd name="T62" fmla="*/ 1242 w 198"/>
                <a:gd name="T63" fmla="*/ 651 h 90"/>
                <a:gd name="T64" fmla="*/ 1209 w 198"/>
                <a:gd name="T65" fmla="*/ 645 h 90"/>
                <a:gd name="T66" fmla="*/ 1220 w 198"/>
                <a:gd name="T67" fmla="*/ 556 h 90"/>
                <a:gd name="T68" fmla="*/ 1190 w 198"/>
                <a:gd name="T69" fmla="*/ 503 h 90"/>
                <a:gd name="T70" fmla="*/ 1130 w 198"/>
                <a:gd name="T71" fmla="*/ 480 h 90"/>
                <a:gd name="T72" fmla="*/ 1072 w 198"/>
                <a:gd name="T73" fmla="*/ 408 h 90"/>
                <a:gd name="T74" fmla="*/ 953 w 198"/>
                <a:gd name="T75" fmla="*/ 443 h 90"/>
                <a:gd name="T76" fmla="*/ 895 w 198"/>
                <a:gd name="T77" fmla="*/ 485 h 90"/>
                <a:gd name="T78" fmla="*/ 855 w 198"/>
                <a:gd name="T79" fmla="*/ 480 h 90"/>
                <a:gd name="T80" fmla="*/ 816 w 198"/>
                <a:gd name="T81" fmla="*/ 417 h 90"/>
                <a:gd name="T82" fmla="*/ 758 w 198"/>
                <a:gd name="T83" fmla="*/ 389 h 90"/>
                <a:gd name="T84" fmla="*/ 707 w 198"/>
                <a:gd name="T85" fmla="*/ 376 h 90"/>
                <a:gd name="T86" fmla="*/ 653 w 198"/>
                <a:gd name="T87" fmla="*/ 370 h 90"/>
                <a:gd name="T88" fmla="*/ 588 w 198"/>
                <a:gd name="T89" fmla="*/ 480 h 90"/>
                <a:gd name="T90" fmla="*/ 555 w 198"/>
                <a:gd name="T91" fmla="*/ 485 h 90"/>
                <a:gd name="T92" fmla="*/ 509 w 198"/>
                <a:gd name="T93" fmla="*/ 546 h 90"/>
                <a:gd name="T94" fmla="*/ 450 w 198"/>
                <a:gd name="T95" fmla="*/ 562 h 90"/>
                <a:gd name="T96" fmla="*/ 419 w 198"/>
                <a:gd name="T97" fmla="*/ 572 h 90"/>
                <a:gd name="T98" fmla="*/ 419 w 198"/>
                <a:gd name="T99" fmla="*/ 620 h 90"/>
                <a:gd name="T100" fmla="*/ 392 w 198"/>
                <a:gd name="T101" fmla="*/ 645 h 90"/>
                <a:gd name="T102" fmla="*/ 346 w 198"/>
                <a:gd name="T103" fmla="*/ 667 h 90"/>
                <a:gd name="T104" fmla="*/ 276 w 198"/>
                <a:gd name="T105" fmla="*/ 686 h 90"/>
                <a:gd name="T106" fmla="*/ 228 w 198"/>
                <a:gd name="T107" fmla="*/ 733 h 90"/>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0" t="0" r="r" b="b"/>
              <a:pathLst>
                <a:path w="198" h="90">
                  <a:moveTo>
                    <a:pt x="28" y="90"/>
                  </a:moveTo>
                  <a:lnTo>
                    <a:pt x="24" y="86"/>
                  </a:lnTo>
                  <a:lnTo>
                    <a:pt x="20" y="84"/>
                  </a:lnTo>
                  <a:lnTo>
                    <a:pt x="15" y="82"/>
                  </a:lnTo>
                  <a:lnTo>
                    <a:pt x="8" y="79"/>
                  </a:lnTo>
                  <a:lnTo>
                    <a:pt x="0" y="83"/>
                  </a:lnTo>
                  <a:lnTo>
                    <a:pt x="3" y="76"/>
                  </a:lnTo>
                  <a:lnTo>
                    <a:pt x="6" y="70"/>
                  </a:lnTo>
                  <a:lnTo>
                    <a:pt x="10" y="67"/>
                  </a:lnTo>
                  <a:lnTo>
                    <a:pt x="10" y="66"/>
                  </a:lnTo>
                  <a:lnTo>
                    <a:pt x="10" y="59"/>
                  </a:lnTo>
                  <a:lnTo>
                    <a:pt x="11" y="57"/>
                  </a:lnTo>
                  <a:lnTo>
                    <a:pt x="14" y="56"/>
                  </a:lnTo>
                  <a:lnTo>
                    <a:pt x="18" y="56"/>
                  </a:lnTo>
                  <a:lnTo>
                    <a:pt x="20" y="56"/>
                  </a:lnTo>
                  <a:lnTo>
                    <a:pt x="23" y="55"/>
                  </a:lnTo>
                  <a:lnTo>
                    <a:pt x="26" y="51"/>
                  </a:lnTo>
                  <a:lnTo>
                    <a:pt x="29" y="45"/>
                  </a:lnTo>
                  <a:lnTo>
                    <a:pt x="29" y="41"/>
                  </a:lnTo>
                  <a:lnTo>
                    <a:pt x="29" y="36"/>
                  </a:lnTo>
                  <a:lnTo>
                    <a:pt x="30" y="32"/>
                  </a:lnTo>
                  <a:lnTo>
                    <a:pt x="31" y="29"/>
                  </a:lnTo>
                  <a:lnTo>
                    <a:pt x="31" y="27"/>
                  </a:lnTo>
                  <a:lnTo>
                    <a:pt x="30" y="25"/>
                  </a:lnTo>
                  <a:lnTo>
                    <a:pt x="28" y="22"/>
                  </a:lnTo>
                  <a:lnTo>
                    <a:pt x="29" y="21"/>
                  </a:lnTo>
                  <a:lnTo>
                    <a:pt x="34" y="19"/>
                  </a:lnTo>
                  <a:lnTo>
                    <a:pt x="37" y="18"/>
                  </a:lnTo>
                  <a:lnTo>
                    <a:pt x="43" y="17"/>
                  </a:lnTo>
                  <a:lnTo>
                    <a:pt x="50" y="15"/>
                  </a:lnTo>
                  <a:lnTo>
                    <a:pt x="67" y="7"/>
                  </a:lnTo>
                  <a:lnTo>
                    <a:pt x="72" y="8"/>
                  </a:lnTo>
                  <a:lnTo>
                    <a:pt x="89" y="14"/>
                  </a:lnTo>
                  <a:lnTo>
                    <a:pt x="104" y="16"/>
                  </a:lnTo>
                  <a:lnTo>
                    <a:pt x="113" y="16"/>
                  </a:lnTo>
                  <a:lnTo>
                    <a:pt x="126" y="14"/>
                  </a:lnTo>
                  <a:lnTo>
                    <a:pt x="139" y="14"/>
                  </a:lnTo>
                  <a:lnTo>
                    <a:pt x="166" y="13"/>
                  </a:lnTo>
                  <a:lnTo>
                    <a:pt x="173" y="7"/>
                  </a:lnTo>
                  <a:lnTo>
                    <a:pt x="189" y="0"/>
                  </a:lnTo>
                  <a:lnTo>
                    <a:pt x="190" y="5"/>
                  </a:lnTo>
                  <a:lnTo>
                    <a:pt x="191" y="7"/>
                  </a:lnTo>
                  <a:lnTo>
                    <a:pt x="190" y="10"/>
                  </a:lnTo>
                  <a:lnTo>
                    <a:pt x="190" y="15"/>
                  </a:lnTo>
                  <a:lnTo>
                    <a:pt x="190" y="20"/>
                  </a:lnTo>
                  <a:lnTo>
                    <a:pt x="191" y="25"/>
                  </a:lnTo>
                  <a:lnTo>
                    <a:pt x="194" y="32"/>
                  </a:lnTo>
                  <a:lnTo>
                    <a:pt x="197" y="39"/>
                  </a:lnTo>
                  <a:lnTo>
                    <a:pt x="198" y="44"/>
                  </a:lnTo>
                  <a:lnTo>
                    <a:pt x="197" y="50"/>
                  </a:lnTo>
                  <a:lnTo>
                    <a:pt x="197" y="54"/>
                  </a:lnTo>
                  <a:lnTo>
                    <a:pt x="198" y="62"/>
                  </a:lnTo>
                  <a:lnTo>
                    <a:pt x="198" y="65"/>
                  </a:lnTo>
                  <a:lnTo>
                    <a:pt x="195" y="70"/>
                  </a:lnTo>
                  <a:lnTo>
                    <a:pt x="191" y="73"/>
                  </a:lnTo>
                  <a:lnTo>
                    <a:pt x="186" y="74"/>
                  </a:lnTo>
                  <a:lnTo>
                    <a:pt x="185" y="74"/>
                  </a:lnTo>
                  <a:lnTo>
                    <a:pt x="181" y="74"/>
                  </a:lnTo>
                  <a:lnTo>
                    <a:pt x="177" y="74"/>
                  </a:lnTo>
                  <a:lnTo>
                    <a:pt x="173" y="76"/>
                  </a:lnTo>
                  <a:lnTo>
                    <a:pt x="164" y="80"/>
                  </a:lnTo>
                  <a:lnTo>
                    <a:pt x="162" y="80"/>
                  </a:lnTo>
                  <a:lnTo>
                    <a:pt x="157" y="80"/>
                  </a:lnTo>
                  <a:lnTo>
                    <a:pt x="154" y="80"/>
                  </a:lnTo>
                  <a:lnTo>
                    <a:pt x="151" y="80"/>
                  </a:lnTo>
                  <a:lnTo>
                    <a:pt x="149" y="79"/>
                  </a:lnTo>
                  <a:lnTo>
                    <a:pt x="149" y="77"/>
                  </a:lnTo>
                  <a:lnTo>
                    <a:pt x="151" y="68"/>
                  </a:lnTo>
                  <a:lnTo>
                    <a:pt x="151" y="66"/>
                  </a:lnTo>
                  <a:lnTo>
                    <a:pt x="148" y="62"/>
                  </a:lnTo>
                  <a:lnTo>
                    <a:pt x="144" y="60"/>
                  </a:lnTo>
                  <a:lnTo>
                    <a:pt x="140" y="58"/>
                  </a:lnTo>
                  <a:lnTo>
                    <a:pt x="133" y="53"/>
                  </a:lnTo>
                  <a:lnTo>
                    <a:pt x="132" y="50"/>
                  </a:lnTo>
                  <a:lnTo>
                    <a:pt x="130" y="50"/>
                  </a:lnTo>
                  <a:lnTo>
                    <a:pt x="118" y="54"/>
                  </a:lnTo>
                  <a:lnTo>
                    <a:pt x="116" y="56"/>
                  </a:lnTo>
                  <a:lnTo>
                    <a:pt x="111" y="60"/>
                  </a:lnTo>
                  <a:lnTo>
                    <a:pt x="108" y="60"/>
                  </a:lnTo>
                  <a:lnTo>
                    <a:pt x="106" y="58"/>
                  </a:lnTo>
                  <a:lnTo>
                    <a:pt x="104" y="55"/>
                  </a:lnTo>
                  <a:lnTo>
                    <a:pt x="101" y="51"/>
                  </a:lnTo>
                  <a:lnTo>
                    <a:pt x="97" y="49"/>
                  </a:lnTo>
                  <a:lnTo>
                    <a:pt x="94" y="47"/>
                  </a:lnTo>
                  <a:lnTo>
                    <a:pt x="91" y="46"/>
                  </a:lnTo>
                  <a:lnTo>
                    <a:pt x="88" y="46"/>
                  </a:lnTo>
                  <a:lnTo>
                    <a:pt x="84" y="46"/>
                  </a:lnTo>
                  <a:lnTo>
                    <a:pt x="81" y="45"/>
                  </a:lnTo>
                  <a:lnTo>
                    <a:pt x="79" y="46"/>
                  </a:lnTo>
                  <a:lnTo>
                    <a:pt x="72" y="58"/>
                  </a:lnTo>
                  <a:lnTo>
                    <a:pt x="70" y="60"/>
                  </a:lnTo>
                  <a:lnTo>
                    <a:pt x="68" y="60"/>
                  </a:lnTo>
                  <a:lnTo>
                    <a:pt x="66" y="63"/>
                  </a:lnTo>
                  <a:lnTo>
                    <a:pt x="63" y="67"/>
                  </a:lnTo>
                  <a:lnTo>
                    <a:pt x="61" y="68"/>
                  </a:lnTo>
                  <a:lnTo>
                    <a:pt x="55" y="69"/>
                  </a:lnTo>
                  <a:lnTo>
                    <a:pt x="52" y="70"/>
                  </a:lnTo>
                  <a:lnTo>
                    <a:pt x="51" y="73"/>
                  </a:lnTo>
                  <a:lnTo>
                    <a:pt x="52" y="76"/>
                  </a:lnTo>
                  <a:lnTo>
                    <a:pt x="51" y="78"/>
                  </a:lnTo>
                  <a:lnTo>
                    <a:pt x="49" y="79"/>
                  </a:lnTo>
                  <a:lnTo>
                    <a:pt x="45" y="81"/>
                  </a:lnTo>
                  <a:lnTo>
                    <a:pt x="43" y="82"/>
                  </a:lnTo>
                  <a:lnTo>
                    <a:pt x="39" y="82"/>
                  </a:lnTo>
                  <a:lnTo>
                    <a:pt x="34" y="84"/>
                  </a:lnTo>
                  <a:lnTo>
                    <a:pt x="31" y="86"/>
                  </a:lnTo>
                  <a:lnTo>
                    <a:pt x="28" y="90"/>
                  </a:lnTo>
                  <a:close/>
                </a:path>
              </a:pathLst>
            </a:custGeom>
            <a:solidFill>
              <a:schemeClr val="accent5">
                <a:lumMod val="40000"/>
                <a:lumOff val="6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57" name="Freeform 41">
              <a:extLst>
                <a:ext uri="{FF2B5EF4-FFF2-40B4-BE49-F238E27FC236}">
                  <a16:creationId xmlns:a16="http://schemas.microsoft.com/office/drawing/2014/main" id="{00000000-0008-0000-0900-0000357E1200}"/>
                </a:ext>
              </a:extLst>
            </xdr:cNvPr>
            <xdr:cNvSpPr>
              <a:spLocks noChangeAspect="1"/>
            </xdr:cNvSpPr>
          </xdr:nvSpPr>
          <xdr:spPr bwMode="auto">
            <a:xfrm rot="238154">
              <a:off x="549" y="2850"/>
              <a:ext cx="303" cy="255"/>
            </a:xfrm>
            <a:custGeom>
              <a:avLst/>
              <a:gdLst>
                <a:gd name="T0" fmla="*/ 489 w 245"/>
                <a:gd name="T1" fmla="*/ 1323 h 207"/>
                <a:gd name="T2" fmla="*/ 575 w 245"/>
                <a:gd name="T3" fmla="*/ 1275 h 207"/>
                <a:gd name="T4" fmla="*/ 605 w 245"/>
                <a:gd name="T5" fmla="*/ 1159 h 207"/>
                <a:gd name="T6" fmla="*/ 632 w 245"/>
                <a:gd name="T7" fmla="*/ 1099 h 207"/>
                <a:gd name="T8" fmla="*/ 735 w 245"/>
                <a:gd name="T9" fmla="*/ 1010 h 207"/>
                <a:gd name="T10" fmla="*/ 782 w 245"/>
                <a:gd name="T11" fmla="*/ 951 h 207"/>
                <a:gd name="T12" fmla="*/ 857 w 245"/>
                <a:gd name="T13" fmla="*/ 990 h 207"/>
                <a:gd name="T14" fmla="*/ 919 w 245"/>
                <a:gd name="T15" fmla="*/ 1006 h 207"/>
                <a:gd name="T16" fmla="*/ 1086 w 245"/>
                <a:gd name="T17" fmla="*/ 1010 h 207"/>
                <a:gd name="T18" fmla="*/ 1196 w 245"/>
                <a:gd name="T19" fmla="*/ 990 h 207"/>
                <a:gd name="T20" fmla="*/ 1248 w 245"/>
                <a:gd name="T21" fmla="*/ 930 h 207"/>
                <a:gd name="T22" fmla="*/ 1232 w 245"/>
                <a:gd name="T23" fmla="*/ 868 h 207"/>
                <a:gd name="T24" fmla="*/ 1440 w 245"/>
                <a:gd name="T25" fmla="*/ 705 h 207"/>
                <a:gd name="T26" fmla="*/ 1516 w 245"/>
                <a:gd name="T27" fmla="*/ 627 h 207"/>
                <a:gd name="T28" fmla="*/ 1598 w 245"/>
                <a:gd name="T29" fmla="*/ 659 h 207"/>
                <a:gd name="T30" fmla="*/ 1697 w 245"/>
                <a:gd name="T31" fmla="*/ 694 h 207"/>
                <a:gd name="T32" fmla="*/ 1798 w 245"/>
                <a:gd name="T33" fmla="*/ 634 h 207"/>
                <a:gd name="T34" fmla="*/ 1856 w 245"/>
                <a:gd name="T35" fmla="*/ 556 h 207"/>
                <a:gd name="T36" fmla="*/ 1893 w 245"/>
                <a:gd name="T37" fmla="*/ 478 h 207"/>
                <a:gd name="T38" fmla="*/ 1966 w 245"/>
                <a:gd name="T39" fmla="*/ 464 h 207"/>
                <a:gd name="T40" fmla="*/ 2018 w 245"/>
                <a:gd name="T41" fmla="*/ 356 h 207"/>
                <a:gd name="T42" fmla="*/ 2037 w 245"/>
                <a:gd name="T43" fmla="*/ 256 h 207"/>
                <a:gd name="T44" fmla="*/ 2007 w 245"/>
                <a:gd name="T45" fmla="*/ 201 h 207"/>
                <a:gd name="T46" fmla="*/ 1966 w 245"/>
                <a:gd name="T47" fmla="*/ 137 h 207"/>
                <a:gd name="T48" fmla="*/ 1976 w 245"/>
                <a:gd name="T49" fmla="*/ 73 h 207"/>
                <a:gd name="T50" fmla="*/ 1908 w 245"/>
                <a:gd name="T51" fmla="*/ 0 h 207"/>
                <a:gd name="T52" fmla="*/ 1582 w 245"/>
                <a:gd name="T53" fmla="*/ 73 h 207"/>
                <a:gd name="T54" fmla="*/ 1343 w 245"/>
                <a:gd name="T55" fmla="*/ 145 h 207"/>
                <a:gd name="T56" fmla="*/ 1232 w 245"/>
                <a:gd name="T57" fmla="*/ 275 h 207"/>
                <a:gd name="T58" fmla="*/ 1001 w 245"/>
                <a:gd name="T59" fmla="*/ 413 h 207"/>
                <a:gd name="T60" fmla="*/ 748 w 245"/>
                <a:gd name="T61" fmla="*/ 620 h 207"/>
                <a:gd name="T62" fmla="*/ 600 w 245"/>
                <a:gd name="T63" fmla="*/ 735 h 207"/>
                <a:gd name="T64" fmla="*/ 147 w 245"/>
                <a:gd name="T65" fmla="*/ 1073 h 207"/>
                <a:gd name="T66" fmla="*/ 61 w 245"/>
                <a:gd name="T67" fmla="*/ 1146 h 207"/>
                <a:gd name="T68" fmla="*/ 61 w 245"/>
                <a:gd name="T69" fmla="*/ 1281 h 207"/>
                <a:gd name="T70" fmla="*/ 26 w 245"/>
                <a:gd name="T71" fmla="*/ 1354 h 207"/>
                <a:gd name="T72" fmla="*/ 26 w 245"/>
                <a:gd name="T73" fmla="*/ 1433 h 207"/>
                <a:gd name="T74" fmla="*/ 40 w 245"/>
                <a:gd name="T75" fmla="*/ 1488 h 207"/>
                <a:gd name="T76" fmla="*/ 136 w 245"/>
                <a:gd name="T77" fmla="*/ 1532 h 207"/>
                <a:gd name="T78" fmla="*/ 176 w 245"/>
                <a:gd name="T79" fmla="*/ 1662 h 207"/>
                <a:gd name="T80" fmla="*/ 246 w 245"/>
                <a:gd name="T81" fmla="*/ 1630 h 207"/>
                <a:gd name="T82" fmla="*/ 318 w 245"/>
                <a:gd name="T83" fmla="*/ 1653 h 207"/>
                <a:gd name="T84" fmla="*/ 367 w 245"/>
                <a:gd name="T85" fmla="*/ 1578 h 207"/>
                <a:gd name="T86" fmla="*/ 388 w 245"/>
                <a:gd name="T87" fmla="*/ 1467 h 207"/>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0" t="0" r="r" b="b"/>
              <a:pathLst>
                <a:path w="245" h="207">
                  <a:moveTo>
                    <a:pt x="54" y="176"/>
                  </a:moveTo>
                  <a:lnTo>
                    <a:pt x="57" y="169"/>
                  </a:lnTo>
                  <a:lnTo>
                    <a:pt x="59" y="165"/>
                  </a:lnTo>
                  <a:lnTo>
                    <a:pt x="62" y="164"/>
                  </a:lnTo>
                  <a:lnTo>
                    <a:pt x="67" y="162"/>
                  </a:lnTo>
                  <a:lnTo>
                    <a:pt x="69" y="158"/>
                  </a:lnTo>
                  <a:lnTo>
                    <a:pt x="71" y="152"/>
                  </a:lnTo>
                  <a:lnTo>
                    <a:pt x="72" y="148"/>
                  </a:lnTo>
                  <a:lnTo>
                    <a:pt x="73" y="144"/>
                  </a:lnTo>
                  <a:lnTo>
                    <a:pt x="76" y="140"/>
                  </a:lnTo>
                  <a:lnTo>
                    <a:pt x="76" y="138"/>
                  </a:lnTo>
                  <a:lnTo>
                    <a:pt x="75" y="136"/>
                  </a:lnTo>
                  <a:lnTo>
                    <a:pt x="75" y="134"/>
                  </a:lnTo>
                  <a:lnTo>
                    <a:pt x="80" y="130"/>
                  </a:lnTo>
                  <a:lnTo>
                    <a:pt x="87" y="126"/>
                  </a:lnTo>
                  <a:lnTo>
                    <a:pt x="88" y="124"/>
                  </a:lnTo>
                  <a:lnTo>
                    <a:pt x="91" y="119"/>
                  </a:lnTo>
                  <a:lnTo>
                    <a:pt x="93" y="118"/>
                  </a:lnTo>
                  <a:lnTo>
                    <a:pt x="96" y="122"/>
                  </a:lnTo>
                  <a:lnTo>
                    <a:pt x="98" y="124"/>
                  </a:lnTo>
                  <a:lnTo>
                    <a:pt x="102" y="123"/>
                  </a:lnTo>
                  <a:lnTo>
                    <a:pt x="104" y="122"/>
                  </a:lnTo>
                  <a:lnTo>
                    <a:pt x="108" y="125"/>
                  </a:lnTo>
                  <a:lnTo>
                    <a:pt x="110" y="125"/>
                  </a:lnTo>
                  <a:lnTo>
                    <a:pt x="114" y="124"/>
                  </a:lnTo>
                  <a:lnTo>
                    <a:pt x="124" y="124"/>
                  </a:lnTo>
                  <a:lnTo>
                    <a:pt x="129" y="126"/>
                  </a:lnTo>
                  <a:lnTo>
                    <a:pt x="132" y="126"/>
                  </a:lnTo>
                  <a:lnTo>
                    <a:pt x="139" y="122"/>
                  </a:lnTo>
                  <a:lnTo>
                    <a:pt x="142" y="123"/>
                  </a:lnTo>
                  <a:lnTo>
                    <a:pt x="144" y="123"/>
                  </a:lnTo>
                  <a:lnTo>
                    <a:pt x="148" y="117"/>
                  </a:lnTo>
                  <a:lnTo>
                    <a:pt x="149" y="115"/>
                  </a:lnTo>
                  <a:lnTo>
                    <a:pt x="144" y="111"/>
                  </a:lnTo>
                  <a:lnTo>
                    <a:pt x="144" y="109"/>
                  </a:lnTo>
                  <a:lnTo>
                    <a:pt x="147" y="107"/>
                  </a:lnTo>
                  <a:lnTo>
                    <a:pt x="162" y="98"/>
                  </a:lnTo>
                  <a:lnTo>
                    <a:pt x="166" y="95"/>
                  </a:lnTo>
                  <a:lnTo>
                    <a:pt x="172" y="87"/>
                  </a:lnTo>
                  <a:lnTo>
                    <a:pt x="175" y="84"/>
                  </a:lnTo>
                  <a:lnTo>
                    <a:pt x="178" y="79"/>
                  </a:lnTo>
                  <a:lnTo>
                    <a:pt x="181" y="78"/>
                  </a:lnTo>
                  <a:lnTo>
                    <a:pt x="185" y="79"/>
                  </a:lnTo>
                  <a:lnTo>
                    <a:pt x="190" y="82"/>
                  </a:lnTo>
                  <a:lnTo>
                    <a:pt x="191" y="82"/>
                  </a:lnTo>
                  <a:lnTo>
                    <a:pt x="194" y="81"/>
                  </a:lnTo>
                  <a:lnTo>
                    <a:pt x="198" y="82"/>
                  </a:lnTo>
                  <a:lnTo>
                    <a:pt x="203" y="86"/>
                  </a:lnTo>
                  <a:lnTo>
                    <a:pt x="205" y="85"/>
                  </a:lnTo>
                  <a:lnTo>
                    <a:pt x="212" y="86"/>
                  </a:lnTo>
                  <a:lnTo>
                    <a:pt x="215" y="79"/>
                  </a:lnTo>
                  <a:lnTo>
                    <a:pt x="218" y="73"/>
                  </a:lnTo>
                  <a:lnTo>
                    <a:pt x="222" y="70"/>
                  </a:lnTo>
                  <a:lnTo>
                    <a:pt x="222" y="69"/>
                  </a:lnTo>
                  <a:lnTo>
                    <a:pt x="222" y="62"/>
                  </a:lnTo>
                  <a:lnTo>
                    <a:pt x="223" y="60"/>
                  </a:lnTo>
                  <a:lnTo>
                    <a:pt x="226" y="59"/>
                  </a:lnTo>
                  <a:lnTo>
                    <a:pt x="230" y="59"/>
                  </a:lnTo>
                  <a:lnTo>
                    <a:pt x="232" y="59"/>
                  </a:lnTo>
                  <a:lnTo>
                    <a:pt x="235" y="58"/>
                  </a:lnTo>
                  <a:lnTo>
                    <a:pt x="238" y="54"/>
                  </a:lnTo>
                  <a:lnTo>
                    <a:pt x="241" y="48"/>
                  </a:lnTo>
                  <a:lnTo>
                    <a:pt x="241" y="44"/>
                  </a:lnTo>
                  <a:lnTo>
                    <a:pt x="241" y="39"/>
                  </a:lnTo>
                  <a:lnTo>
                    <a:pt x="242" y="35"/>
                  </a:lnTo>
                  <a:lnTo>
                    <a:pt x="243" y="32"/>
                  </a:lnTo>
                  <a:lnTo>
                    <a:pt x="243" y="30"/>
                  </a:lnTo>
                  <a:lnTo>
                    <a:pt x="242" y="28"/>
                  </a:lnTo>
                  <a:lnTo>
                    <a:pt x="240" y="25"/>
                  </a:lnTo>
                  <a:lnTo>
                    <a:pt x="241" y="25"/>
                  </a:lnTo>
                  <a:lnTo>
                    <a:pt x="240" y="24"/>
                  </a:lnTo>
                  <a:lnTo>
                    <a:pt x="235" y="17"/>
                  </a:lnTo>
                  <a:lnTo>
                    <a:pt x="235" y="13"/>
                  </a:lnTo>
                  <a:lnTo>
                    <a:pt x="235" y="11"/>
                  </a:lnTo>
                  <a:lnTo>
                    <a:pt x="236" y="9"/>
                  </a:lnTo>
                  <a:lnTo>
                    <a:pt x="245" y="7"/>
                  </a:lnTo>
                  <a:lnTo>
                    <a:pt x="238" y="3"/>
                  </a:lnTo>
                  <a:lnTo>
                    <a:pt x="228" y="0"/>
                  </a:lnTo>
                  <a:lnTo>
                    <a:pt x="217" y="1"/>
                  </a:lnTo>
                  <a:lnTo>
                    <a:pt x="208" y="0"/>
                  </a:lnTo>
                  <a:lnTo>
                    <a:pt x="189" y="9"/>
                  </a:lnTo>
                  <a:lnTo>
                    <a:pt x="185" y="11"/>
                  </a:lnTo>
                  <a:lnTo>
                    <a:pt x="163" y="14"/>
                  </a:lnTo>
                  <a:lnTo>
                    <a:pt x="160" y="18"/>
                  </a:lnTo>
                  <a:lnTo>
                    <a:pt x="142" y="23"/>
                  </a:lnTo>
                  <a:lnTo>
                    <a:pt x="145" y="30"/>
                  </a:lnTo>
                  <a:lnTo>
                    <a:pt x="147" y="34"/>
                  </a:lnTo>
                  <a:lnTo>
                    <a:pt x="144" y="39"/>
                  </a:lnTo>
                  <a:lnTo>
                    <a:pt x="133" y="47"/>
                  </a:lnTo>
                  <a:lnTo>
                    <a:pt x="120" y="51"/>
                  </a:lnTo>
                  <a:lnTo>
                    <a:pt x="115" y="54"/>
                  </a:lnTo>
                  <a:lnTo>
                    <a:pt x="97" y="71"/>
                  </a:lnTo>
                  <a:lnTo>
                    <a:pt x="90" y="77"/>
                  </a:lnTo>
                  <a:lnTo>
                    <a:pt x="80" y="84"/>
                  </a:lnTo>
                  <a:lnTo>
                    <a:pt x="75" y="86"/>
                  </a:lnTo>
                  <a:lnTo>
                    <a:pt x="71" y="92"/>
                  </a:lnTo>
                  <a:lnTo>
                    <a:pt x="67" y="96"/>
                  </a:lnTo>
                  <a:lnTo>
                    <a:pt x="56" y="101"/>
                  </a:lnTo>
                  <a:lnTo>
                    <a:pt x="18" y="133"/>
                  </a:lnTo>
                  <a:lnTo>
                    <a:pt x="12" y="137"/>
                  </a:lnTo>
                  <a:lnTo>
                    <a:pt x="7" y="137"/>
                  </a:lnTo>
                  <a:lnTo>
                    <a:pt x="7" y="142"/>
                  </a:lnTo>
                  <a:lnTo>
                    <a:pt x="9" y="149"/>
                  </a:lnTo>
                  <a:lnTo>
                    <a:pt x="9" y="153"/>
                  </a:lnTo>
                  <a:lnTo>
                    <a:pt x="7" y="159"/>
                  </a:lnTo>
                  <a:lnTo>
                    <a:pt x="3" y="163"/>
                  </a:lnTo>
                  <a:lnTo>
                    <a:pt x="2" y="167"/>
                  </a:lnTo>
                  <a:lnTo>
                    <a:pt x="3" y="168"/>
                  </a:lnTo>
                  <a:lnTo>
                    <a:pt x="1" y="172"/>
                  </a:lnTo>
                  <a:lnTo>
                    <a:pt x="0" y="176"/>
                  </a:lnTo>
                  <a:lnTo>
                    <a:pt x="3" y="178"/>
                  </a:lnTo>
                  <a:lnTo>
                    <a:pt x="2" y="180"/>
                  </a:lnTo>
                  <a:lnTo>
                    <a:pt x="2" y="183"/>
                  </a:lnTo>
                  <a:lnTo>
                    <a:pt x="5" y="184"/>
                  </a:lnTo>
                  <a:lnTo>
                    <a:pt x="10" y="185"/>
                  </a:lnTo>
                  <a:lnTo>
                    <a:pt x="17" y="187"/>
                  </a:lnTo>
                  <a:lnTo>
                    <a:pt x="16" y="191"/>
                  </a:lnTo>
                  <a:lnTo>
                    <a:pt x="14" y="196"/>
                  </a:lnTo>
                  <a:lnTo>
                    <a:pt x="14" y="201"/>
                  </a:lnTo>
                  <a:lnTo>
                    <a:pt x="21" y="206"/>
                  </a:lnTo>
                  <a:lnTo>
                    <a:pt x="24" y="207"/>
                  </a:lnTo>
                  <a:lnTo>
                    <a:pt x="26" y="206"/>
                  </a:lnTo>
                  <a:lnTo>
                    <a:pt x="29" y="203"/>
                  </a:lnTo>
                  <a:lnTo>
                    <a:pt x="33" y="203"/>
                  </a:lnTo>
                  <a:lnTo>
                    <a:pt x="35" y="204"/>
                  </a:lnTo>
                  <a:lnTo>
                    <a:pt x="38" y="205"/>
                  </a:lnTo>
                  <a:lnTo>
                    <a:pt x="39" y="203"/>
                  </a:lnTo>
                  <a:lnTo>
                    <a:pt x="42" y="199"/>
                  </a:lnTo>
                  <a:lnTo>
                    <a:pt x="44" y="196"/>
                  </a:lnTo>
                  <a:lnTo>
                    <a:pt x="45" y="191"/>
                  </a:lnTo>
                  <a:lnTo>
                    <a:pt x="44" y="186"/>
                  </a:lnTo>
                  <a:lnTo>
                    <a:pt x="46" y="183"/>
                  </a:lnTo>
                  <a:lnTo>
                    <a:pt x="49" y="179"/>
                  </a:lnTo>
                  <a:lnTo>
                    <a:pt x="54" y="176"/>
                  </a:lnTo>
                  <a:close/>
                </a:path>
              </a:pathLst>
            </a:custGeom>
            <a:solidFill>
              <a:schemeClr val="accent5">
                <a:lumMod val="40000"/>
                <a:lumOff val="6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58" name="Freeform 42">
              <a:extLst>
                <a:ext uri="{FF2B5EF4-FFF2-40B4-BE49-F238E27FC236}">
                  <a16:creationId xmlns:a16="http://schemas.microsoft.com/office/drawing/2014/main" id="{00000000-0008-0000-0900-0000367E1200}"/>
                </a:ext>
              </a:extLst>
            </xdr:cNvPr>
            <xdr:cNvSpPr>
              <a:spLocks noChangeAspect="1"/>
            </xdr:cNvSpPr>
          </xdr:nvSpPr>
          <xdr:spPr bwMode="auto">
            <a:xfrm rot="238154">
              <a:off x="840" y="2926"/>
              <a:ext cx="201" cy="194"/>
            </a:xfrm>
            <a:custGeom>
              <a:avLst/>
              <a:gdLst>
                <a:gd name="T0" fmla="*/ 96 w 162"/>
                <a:gd name="T1" fmla="*/ 1199 h 157"/>
                <a:gd name="T2" fmla="*/ 109 w 162"/>
                <a:gd name="T3" fmla="*/ 1136 h 157"/>
                <a:gd name="T4" fmla="*/ 77 w 162"/>
                <a:gd name="T5" fmla="*/ 1060 h 157"/>
                <a:gd name="T6" fmla="*/ 71 w 162"/>
                <a:gd name="T7" fmla="*/ 991 h 157"/>
                <a:gd name="T8" fmla="*/ 62 w 162"/>
                <a:gd name="T9" fmla="*/ 860 h 157"/>
                <a:gd name="T10" fmla="*/ 62 w 162"/>
                <a:gd name="T11" fmla="*/ 803 h 157"/>
                <a:gd name="T12" fmla="*/ 71 w 162"/>
                <a:gd name="T13" fmla="*/ 711 h 157"/>
                <a:gd name="T14" fmla="*/ 32 w 162"/>
                <a:gd name="T15" fmla="*/ 633 h 157"/>
                <a:gd name="T16" fmla="*/ 0 w 162"/>
                <a:gd name="T17" fmla="*/ 538 h 157"/>
                <a:gd name="T18" fmla="*/ 32 w 162"/>
                <a:gd name="T19" fmla="*/ 456 h 157"/>
                <a:gd name="T20" fmla="*/ 26 w 162"/>
                <a:gd name="T21" fmla="*/ 376 h 157"/>
                <a:gd name="T22" fmla="*/ 77 w 162"/>
                <a:gd name="T23" fmla="*/ 319 h 157"/>
                <a:gd name="T24" fmla="*/ 155 w 162"/>
                <a:gd name="T25" fmla="*/ 305 h 157"/>
                <a:gd name="T26" fmla="*/ 208 w 162"/>
                <a:gd name="T27" fmla="*/ 283 h 157"/>
                <a:gd name="T28" fmla="*/ 238 w 162"/>
                <a:gd name="T29" fmla="*/ 257 h 157"/>
                <a:gd name="T30" fmla="*/ 238 w 162"/>
                <a:gd name="T31" fmla="*/ 208 h 157"/>
                <a:gd name="T32" fmla="*/ 258 w 162"/>
                <a:gd name="T33" fmla="*/ 200 h 157"/>
                <a:gd name="T34" fmla="*/ 324 w 162"/>
                <a:gd name="T35" fmla="*/ 182 h 157"/>
                <a:gd name="T36" fmla="*/ 375 w 162"/>
                <a:gd name="T37" fmla="*/ 122 h 157"/>
                <a:gd name="T38" fmla="*/ 402 w 162"/>
                <a:gd name="T39" fmla="*/ 110 h 157"/>
                <a:gd name="T40" fmla="*/ 485 w 162"/>
                <a:gd name="T41" fmla="*/ 0 h 157"/>
                <a:gd name="T42" fmla="*/ 545 w 162"/>
                <a:gd name="T43" fmla="*/ 1 h 157"/>
                <a:gd name="T44" fmla="*/ 602 w 162"/>
                <a:gd name="T45" fmla="*/ 2 h 157"/>
                <a:gd name="T46" fmla="*/ 658 w 162"/>
                <a:gd name="T47" fmla="*/ 49 h 157"/>
                <a:gd name="T48" fmla="*/ 699 w 162"/>
                <a:gd name="T49" fmla="*/ 110 h 157"/>
                <a:gd name="T50" fmla="*/ 747 w 162"/>
                <a:gd name="T51" fmla="*/ 122 h 157"/>
                <a:gd name="T52" fmla="*/ 804 w 162"/>
                <a:gd name="T53" fmla="*/ 75 h 157"/>
                <a:gd name="T54" fmla="*/ 927 w 162"/>
                <a:gd name="T55" fmla="*/ 40 h 157"/>
                <a:gd name="T56" fmla="*/ 998 w 162"/>
                <a:gd name="T57" fmla="*/ 110 h 157"/>
                <a:gd name="T58" fmla="*/ 1072 w 162"/>
                <a:gd name="T59" fmla="*/ 142 h 157"/>
                <a:gd name="T60" fmla="*/ 1089 w 162"/>
                <a:gd name="T61" fmla="*/ 187 h 157"/>
                <a:gd name="T62" fmla="*/ 1073 w 162"/>
                <a:gd name="T63" fmla="*/ 283 h 157"/>
                <a:gd name="T64" fmla="*/ 1117 w 162"/>
                <a:gd name="T65" fmla="*/ 285 h 157"/>
                <a:gd name="T66" fmla="*/ 1184 w 162"/>
                <a:gd name="T67" fmla="*/ 285 h 157"/>
                <a:gd name="T68" fmla="*/ 1283 w 162"/>
                <a:gd name="T69" fmla="*/ 257 h 157"/>
                <a:gd name="T70" fmla="*/ 1351 w 162"/>
                <a:gd name="T71" fmla="*/ 240 h 157"/>
                <a:gd name="T72" fmla="*/ 1386 w 162"/>
                <a:gd name="T73" fmla="*/ 278 h 157"/>
                <a:gd name="T74" fmla="*/ 1396 w 162"/>
                <a:gd name="T75" fmla="*/ 344 h 157"/>
                <a:gd name="T76" fmla="*/ 1367 w 162"/>
                <a:gd name="T77" fmla="*/ 393 h 157"/>
                <a:gd name="T78" fmla="*/ 1330 w 162"/>
                <a:gd name="T79" fmla="*/ 425 h 157"/>
                <a:gd name="T80" fmla="*/ 1268 w 162"/>
                <a:gd name="T81" fmla="*/ 486 h 157"/>
                <a:gd name="T82" fmla="*/ 1222 w 162"/>
                <a:gd name="T83" fmla="*/ 525 h 157"/>
                <a:gd name="T84" fmla="*/ 1220 w 162"/>
                <a:gd name="T85" fmla="*/ 560 h 157"/>
                <a:gd name="T86" fmla="*/ 1197 w 162"/>
                <a:gd name="T87" fmla="*/ 602 h 157"/>
                <a:gd name="T88" fmla="*/ 1197 w 162"/>
                <a:gd name="T89" fmla="*/ 660 h 157"/>
                <a:gd name="T90" fmla="*/ 1184 w 162"/>
                <a:gd name="T91" fmla="*/ 734 h 157"/>
                <a:gd name="T92" fmla="*/ 1197 w 162"/>
                <a:gd name="T93" fmla="*/ 802 h 157"/>
                <a:gd name="T94" fmla="*/ 1220 w 162"/>
                <a:gd name="T95" fmla="*/ 848 h 157"/>
                <a:gd name="T96" fmla="*/ 1238 w 162"/>
                <a:gd name="T97" fmla="*/ 892 h 157"/>
                <a:gd name="T98" fmla="*/ 1182 w 162"/>
                <a:gd name="T99" fmla="*/ 966 h 157"/>
                <a:gd name="T100" fmla="*/ 1041 w 162"/>
                <a:gd name="T101" fmla="*/ 1087 h 157"/>
                <a:gd name="T102" fmla="*/ 833 w 162"/>
                <a:gd name="T103" fmla="*/ 1121 h 157"/>
                <a:gd name="T104" fmla="*/ 788 w 162"/>
                <a:gd name="T105" fmla="*/ 1194 h 157"/>
                <a:gd name="T106" fmla="*/ 768 w 162"/>
                <a:gd name="T107" fmla="*/ 1246 h 157"/>
                <a:gd name="T108" fmla="*/ 699 w 162"/>
                <a:gd name="T109" fmla="*/ 1274 h 157"/>
                <a:gd name="T110" fmla="*/ 577 w 162"/>
                <a:gd name="T111" fmla="*/ 1270 h 157"/>
                <a:gd name="T112" fmla="*/ 541 w 162"/>
                <a:gd name="T113" fmla="*/ 1295 h 157"/>
                <a:gd name="T114" fmla="*/ 375 w 162"/>
                <a:gd name="T115" fmla="*/ 1225 h 157"/>
                <a:gd name="T116" fmla="*/ 261 w 162"/>
                <a:gd name="T117" fmla="*/ 1246 h 157"/>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0" t="0" r="r" b="b"/>
              <a:pathLst>
                <a:path w="162" h="157">
                  <a:moveTo>
                    <a:pt x="12" y="151"/>
                  </a:moveTo>
                  <a:lnTo>
                    <a:pt x="11" y="145"/>
                  </a:lnTo>
                  <a:lnTo>
                    <a:pt x="12" y="141"/>
                  </a:lnTo>
                  <a:lnTo>
                    <a:pt x="12" y="137"/>
                  </a:lnTo>
                  <a:lnTo>
                    <a:pt x="11" y="132"/>
                  </a:lnTo>
                  <a:lnTo>
                    <a:pt x="9" y="128"/>
                  </a:lnTo>
                  <a:lnTo>
                    <a:pt x="7" y="124"/>
                  </a:lnTo>
                  <a:lnTo>
                    <a:pt x="8" y="119"/>
                  </a:lnTo>
                  <a:lnTo>
                    <a:pt x="8" y="115"/>
                  </a:lnTo>
                  <a:lnTo>
                    <a:pt x="7" y="104"/>
                  </a:lnTo>
                  <a:lnTo>
                    <a:pt x="7" y="99"/>
                  </a:lnTo>
                  <a:lnTo>
                    <a:pt x="7" y="97"/>
                  </a:lnTo>
                  <a:lnTo>
                    <a:pt x="9" y="91"/>
                  </a:lnTo>
                  <a:lnTo>
                    <a:pt x="8" y="85"/>
                  </a:lnTo>
                  <a:lnTo>
                    <a:pt x="7" y="81"/>
                  </a:lnTo>
                  <a:lnTo>
                    <a:pt x="4" y="76"/>
                  </a:lnTo>
                  <a:lnTo>
                    <a:pt x="1" y="71"/>
                  </a:lnTo>
                  <a:lnTo>
                    <a:pt x="0" y="65"/>
                  </a:lnTo>
                  <a:lnTo>
                    <a:pt x="2" y="61"/>
                  </a:lnTo>
                  <a:lnTo>
                    <a:pt x="4" y="55"/>
                  </a:lnTo>
                  <a:lnTo>
                    <a:pt x="4" y="51"/>
                  </a:lnTo>
                  <a:lnTo>
                    <a:pt x="3" y="45"/>
                  </a:lnTo>
                  <a:lnTo>
                    <a:pt x="6" y="41"/>
                  </a:lnTo>
                  <a:lnTo>
                    <a:pt x="9" y="39"/>
                  </a:lnTo>
                  <a:lnTo>
                    <a:pt x="14" y="37"/>
                  </a:lnTo>
                  <a:lnTo>
                    <a:pt x="18" y="37"/>
                  </a:lnTo>
                  <a:lnTo>
                    <a:pt x="20" y="36"/>
                  </a:lnTo>
                  <a:lnTo>
                    <a:pt x="24" y="34"/>
                  </a:lnTo>
                  <a:lnTo>
                    <a:pt x="26" y="33"/>
                  </a:lnTo>
                  <a:lnTo>
                    <a:pt x="27" y="31"/>
                  </a:lnTo>
                  <a:lnTo>
                    <a:pt x="26" y="28"/>
                  </a:lnTo>
                  <a:lnTo>
                    <a:pt x="27" y="25"/>
                  </a:lnTo>
                  <a:lnTo>
                    <a:pt x="30" y="24"/>
                  </a:lnTo>
                  <a:lnTo>
                    <a:pt x="36" y="23"/>
                  </a:lnTo>
                  <a:lnTo>
                    <a:pt x="38" y="22"/>
                  </a:lnTo>
                  <a:lnTo>
                    <a:pt x="41" y="18"/>
                  </a:lnTo>
                  <a:lnTo>
                    <a:pt x="43" y="15"/>
                  </a:lnTo>
                  <a:lnTo>
                    <a:pt x="45" y="15"/>
                  </a:lnTo>
                  <a:lnTo>
                    <a:pt x="47" y="13"/>
                  </a:lnTo>
                  <a:lnTo>
                    <a:pt x="54" y="1"/>
                  </a:lnTo>
                  <a:lnTo>
                    <a:pt x="56" y="0"/>
                  </a:lnTo>
                  <a:lnTo>
                    <a:pt x="59" y="1"/>
                  </a:lnTo>
                  <a:lnTo>
                    <a:pt x="63" y="1"/>
                  </a:lnTo>
                  <a:lnTo>
                    <a:pt x="66" y="1"/>
                  </a:lnTo>
                  <a:lnTo>
                    <a:pt x="69" y="2"/>
                  </a:lnTo>
                  <a:lnTo>
                    <a:pt x="72" y="4"/>
                  </a:lnTo>
                  <a:lnTo>
                    <a:pt x="76" y="6"/>
                  </a:lnTo>
                  <a:lnTo>
                    <a:pt x="79" y="10"/>
                  </a:lnTo>
                  <a:lnTo>
                    <a:pt x="81" y="13"/>
                  </a:lnTo>
                  <a:lnTo>
                    <a:pt x="83" y="15"/>
                  </a:lnTo>
                  <a:lnTo>
                    <a:pt x="86" y="15"/>
                  </a:lnTo>
                  <a:lnTo>
                    <a:pt x="91" y="11"/>
                  </a:lnTo>
                  <a:lnTo>
                    <a:pt x="93" y="9"/>
                  </a:lnTo>
                  <a:lnTo>
                    <a:pt x="105" y="5"/>
                  </a:lnTo>
                  <a:lnTo>
                    <a:pt x="107" y="5"/>
                  </a:lnTo>
                  <a:lnTo>
                    <a:pt x="108" y="8"/>
                  </a:lnTo>
                  <a:lnTo>
                    <a:pt x="115" y="13"/>
                  </a:lnTo>
                  <a:lnTo>
                    <a:pt x="119" y="15"/>
                  </a:lnTo>
                  <a:lnTo>
                    <a:pt x="123" y="17"/>
                  </a:lnTo>
                  <a:lnTo>
                    <a:pt x="126" y="21"/>
                  </a:lnTo>
                  <a:lnTo>
                    <a:pt x="126" y="23"/>
                  </a:lnTo>
                  <a:lnTo>
                    <a:pt x="124" y="32"/>
                  </a:lnTo>
                  <a:lnTo>
                    <a:pt x="124" y="34"/>
                  </a:lnTo>
                  <a:lnTo>
                    <a:pt x="126" y="35"/>
                  </a:lnTo>
                  <a:lnTo>
                    <a:pt x="129" y="35"/>
                  </a:lnTo>
                  <a:lnTo>
                    <a:pt x="132" y="35"/>
                  </a:lnTo>
                  <a:lnTo>
                    <a:pt x="137" y="35"/>
                  </a:lnTo>
                  <a:lnTo>
                    <a:pt x="139" y="35"/>
                  </a:lnTo>
                  <a:lnTo>
                    <a:pt x="148" y="31"/>
                  </a:lnTo>
                  <a:lnTo>
                    <a:pt x="152" y="29"/>
                  </a:lnTo>
                  <a:lnTo>
                    <a:pt x="156" y="29"/>
                  </a:lnTo>
                  <a:lnTo>
                    <a:pt x="160" y="29"/>
                  </a:lnTo>
                  <a:lnTo>
                    <a:pt x="160" y="33"/>
                  </a:lnTo>
                  <a:lnTo>
                    <a:pt x="162" y="38"/>
                  </a:lnTo>
                  <a:lnTo>
                    <a:pt x="162" y="41"/>
                  </a:lnTo>
                  <a:lnTo>
                    <a:pt x="161" y="44"/>
                  </a:lnTo>
                  <a:lnTo>
                    <a:pt x="158" y="47"/>
                  </a:lnTo>
                  <a:lnTo>
                    <a:pt x="155" y="49"/>
                  </a:lnTo>
                  <a:lnTo>
                    <a:pt x="153" y="51"/>
                  </a:lnTo>
                  <a:lnTo>
                    <a:pt x="151" y="54"/>
                  </a:lnTo>
                  <a:lnTo>
                    <a:pt x="147" y="58"/>
                  </a:lnTo>
                  <a:lnTo>
                    <a:pt x="143" y="62"/>
                  </a:lnTo>
                  <a:lnTo>
                    <a:pt x="142" y="63"/>
                  </a:lnTo>
                  <a:lnTo>
                    <a:pt x="141" y="66"/>
                  </a:lnTo>
                  <a:lnTo>
                    <a:pt x="141" y="67"/>
                  </a:lnTo>
                  <a:lnTo>
                    <a:pt x="139" y="71"/>
                  </a:lnTo>
                  <a:lnTo>
                    <a:pt x="139" y="73"/>
                  </a:lnTo>
                  <a:lnTo>
                    <a:pt x="138" y="76"/>
                  </a:lnTo>
                  <a:lnTo>
                    <a:pt x="139" y="79"/>
                  </a:lnTo>
                  <a:lnTo>
                    <a:pt x="139" y="83"/>
                  </a:lnTo>
                  <a:lnTo>
                    <a:pt x="137" y="88"/>
                  </a:lnTo>
                  <a:lnTo>
                    <a:pt x="138" y="90"/>
                  </a:lnTo>
                  <a:lnTo>
                    <a:pt x="139" y="96"/>
                  </a:lnTo>
                  <a:lnTo>
                    <a:pt x="139" y="100"/>
                  </a:lnTo>
                  <a:lnTo>
                    <a:pt x="141" y="102"/>
                  </a:lnTo>
                  <a:lnTo>
                    <a:pt x="143" y="105"/>
                  </a:lnTo>
                  <a:lnTo>
                    <a:pt x="143" y="108"/>
                  </a:lnTo>
                  <a:lnTo>
                    <a:pt x="145" y="114"/>
                  </a:lnTo>
                  <a:lnTo>
                    <a:pt x="136" y="116"/>
                  </a:lnTo>
                  <a:lnTo>
                    <a:pt x="131" y="119"/>
                  </a:lnTo>
                  <a:lnTo>
                    <a:pt x="120" y="131"/>
                  </a:lnTo>
                  <a:lnTo>
                    <a:pt x="115" y="132"/>
                  </a:lnTo>
                  <a:lnTo>
                    <a:pt x="96" y="135"/>
                  </a:lnTo>
                  <a:lnTo>
                    <a:pt x="93" y="138"/>
                  </a:lnTo>
                  <a:lnTo>
                    <a:pt x="91" y="143"/>
                  </a:lnTo>
                  <a:lnTo>
                    <a:pt x="90" y="147"/>
                  </a:lnTo>
                  <a:lnTo>
                    <a:pt x="89" y="150"/>
                  </a:lnTo>
                  <a:lnTo>
                    <a:pt x="86" y="153"/>
                  </a:lnTo>
                  <a:lnTo>
                    <a:pt x="81" y="154"/>
                  </a:lnTo>
                  <a:lnTo>
                    <a:pt x="69" y="152"/>
                  </a:lnTo>
                  <a:lnTo>
                    <a:pt x="66" y="153"/>
                  </a:lnTo>
                  <a:lnTo>
                    <a:pt x="64" y="157"/>
                  </a:lnTo>
                  <a:lnTo>
                    <a:pt x="62" y="156"/>
                  </a:lnTo>
                  <a:lnTo>
                    <a:pt x="47" y="147"/>
                  </a:lnTo>
                  <a:lnTo>
                    <a:pt x="43" y="147"/>
                  </a:lnTo>
                  <a:lnTo>
                    <a:pt x="35" y="150"/>
                  </a:lnTo>
                  <a:lnTo>
                    <a:pt x="31" y="150"/>
                  </a:lnTo>
                  <a:lnTo>
                    <a:pt x="12" y="151"/>
                  </a:lnTo>
                  <a:close/>
                </a:path>
              </a:pathLst>
            </a:custGeom>
            <a:solidFill>
              <a:schemeClr val="accent5">
                <a:lumMod val="40000"/>
                <a:lumOff val="6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59" name="Freeform 43">
              <a:extLst>
                <a:ext uri="{FF2B5EF4-FFF2-40B4-BE49-F238E27FC236}">
                  <a16:creationId xmlns:a16="http://schemas.microsoft.com/office/drawing/2014/main" id="{00000000-0008-0000-0900-0000377E1200}"/>
                </a:ext>
              </a:extLst>
            </xdr:cNvPr>
            <xdr:cNvSpPr>
              <a:spLocks noChangeAspect="1"/>
            </xdr:cNvSpPr>
          </xdr:nvSpPr>
          <xdr:spPr bwMode="auto">
            <a:xfrm rot="238154">
              <a:off x="612" y="2948"/>
              <a:ext cx="241" cy="198"/>
            </a:xfrm>
            <a:custGeom>
              <a:avLst/>
              <a:gdLst>
                <a:gd name="T0" fmla="*/ 175 w 195"/>
                <a:gd name="T1" fmla="*/ 1212 h 160"/>
                <a:gd name="T2" fmla="*/ 310 w 195"/>
                <a:gd name="T3" fmla="*/ 1127 h 160"/>
                <a:gd name="T4" fmla="*/ 383 w 195"/>
                <a:gd name="T5" fmla="*/ 1137 h 160"/>
                <a:gd name="T6" fmla="*/ 416 w 195"/>
                <a:gd name="T7" fmla="*/ 1212 h 160"/>
                <a:gd name="T8" fmla="*/ 433 w 195"/>
                <a:gd name="T9" fmla="*/ 1271 h 160"/>
                <a:gd name="T10" fmla="*/ 486 w 195"/>
                <a:gd name="T11" fmla="*/ 1346 h 160"/>
                <a:gd name="T12" fmla="*/ 535 w 195"/>
                <a:gd name="T13" fmla="*/ 1287 h 160"/>
                <a:gd name="T14" fmla="*/ 674 w 195"/>
                <a:gd name="T15" fmla="*/ 1271 h 160"/>
                <a:gd name="T16" fmla="*/ 734 w 195"/>
                <a:gd name="T17" fmla="*/ 1268 h 160"/>
                <a:gd name="T18" fmla="*/ 817 w 195"/>
                <a:gd name="T19" fmla="*/ 1182 h 160"/>
                <a:gd name="T20" fmla="*/ 879 w 195"/>
                <a:gd name="T21" fmla="*/ 1176 h 160"/>
                <a:gd name="T22" fmla="*/ 931 w 195"/>
                <a:gd name="T23" fmla="*/ 1164 h 160"/>
                <a:gd name="T24" fmla="*/ 1137 w 195"/>
                <a:gd name="T25" fmla="*/ 1127 h 160"/>
                <a:gd name="T26" fmla="*/ 1416 w 195"/>
                <a:gd name="T27" fmla="*/ 1063 h 160"/>
                <a:gd name="T28" fmla="*/ 1463 w 195"/>
                <a:gd name="T29" fmla="*/ 1090 h 160"/>
                <a:gd name="T30" fmla="*/ 1515 w 195"/>
                <a:gd name="T31" fmla="*/ 1090 h 160"/>
                <a:gd name="T32" fmla="*/ 1623 w 195"/>
                <a:gd name="T33" fmla="*/ 1025 h 160"/>
                <a:gd name="T34" fmla="*/ 1623 w 195"/>
                <a:gd name="T35" fmla="*/ 934 h 160"/>
                <a:gd name="T36" fmla="*/ 1617 w 195"/>
                <a:gd name="T37" fmla="*/ 859 h 160"/>
                <a:gd name="T38" fmla="*/ 1575 w 195"/>
                <a:gd name="T39" fmla="*/ 791 h 160"/>
                <a:gd name="T40" fmla="*/ 1591 w 195"/>
                <a:gd name="T41" fmla="*/ 712 h 160"/>
                <a:gd name="T42" fmla="*/ 1575 w 195"/>
                <a:gd name="T43" fmla="*/ 575 h 160"/>
                <a:gd name="T44" fmla="*/ 1592 w 195"/>
                <a:gd name="T45" fmla="*/ 511 h 160"/>
                <a:gd name="T46" fmla="*/ 1575 w 195"/>
                <a:gd name="T47" fmla="*/ 432 h 160"/>
                <a:gd name="T48" fmla="*/ 1529 w 195"/>
                <a:gd name="T49" fmla="*/ 349 h 160"/>
                <a:gd name="T50" fmla="*/ 1542 w 195"/>
                <a:gd name="T51" fmla="*/ 257 h 160"/>
                <a:gd name="T52" fmla="*/ 1552 w 195"/>
                <a:gd name="T53" fmla="*/ 181 h 160"/>
                <a:gd name="T54" fmla="*/ 1514 w 195"/>
                <a:gd name="T55" fmla="*/ 95 h 160"/>
                <a:gd name="T56" fmla="*/ 1435 w 195"/>
                <a:gd name="T57" fmla="*/ 62 h 160"/>
                <a:gd name="T58" fmla="*/ 1313 w 195"/>
                <a:gd name="T59" fmla="*/ 71 h 160"/>
                <a:gd name="T60" fmla="*/ 1237 w 195"/>
                <a:gd name="T61" fmla="*/ 71 h 160"/>
                <a:gd name="T62" fmla="*/ 1161 w 195"/>
                <a:gd name="T63" fmla="*/ 26 h 160"/>
                <a:gd name="T64" fmla="*/ 1135 w 195"/>
                <a:gd name="T65" fmla="*/ 32 h 160"/>
                <a:gd name="T66" fmla="*/ 1058 w 195"/>
                <a:gd name="T67" fmla="*/ 0 h 160"/>
                <a:gd name="T68" fmla="*/ 1010 w 195"/>
                <a:gd name="T69" fmla="*/ 50 h 160"/>
                <a:gd name="T70" fmla="*/ 931 w 195"/>
                <a:gd name="T71" fmla="*/ 146 h 160"/>
                <a:gd name="T72" fmla="*/ 770 w 195"/>
                <a:gd name="T73" fmla="*/ 246 h 160"/>
                <a:gd name="T74" fmla="*/ 744 w 195"/>
                <a:gd name="T75" fmla="*/ 282 h 160"/>
                <a:gd name="T76" fmla="*/ 782 w 195"/>
                <a:gd name="T77" fmla="*/ 322 h 160"/>
                <a:gd name="T78" fmla="*/ 734 w 195"/>
                <a:gd name="T79" fmla="*/ 376 h 160"/>
                <a:gd name="T80" fmla="*/ 649 w 195"/>
                <a:gd name="T81" fmla="*/ 398 h 160"/>
                <a:gd name="T82" fmla="*/ 585 w 195"/>
                <a:gd name="T83" fmla="*/ 392 h 160"/>
                <a:gd name="T84" fmla="*/ 465 w 195"/>
                <a:gd name="T85" fmla="*/ 394 h 160"/>
                <a:gd name="T86" fmla="*/ 416 w 195"/>
                <a:gd name="T87" fmla="*/ 368 h 160"/>
                <a:gd name="T88" fmla="*/ 367 w 195"/>
                <a:gd name="T89" fmla="*/ 392 h 160"/>
                <a:gd name="T90" fmla="*/ 319 w 195"/>
                <a:gd name="T91" fmla="*/ 343 h 160"/>
                <a:gd name="T92" fmla="*/ 283 w 195"/>
                <a:gd name="T93" fmla="*/ 392 h 160"/>
                <a:gd name="T94" fmla="*/ 216 w 195"/>
                <a:gd name="T95" fmla="*/ 437 h 160"/>
                <a:gd name="T96" fmla="*/ 175 w 195"/>
                <a:gd name="T97" fmla="*/ 488 h 160"/>
                <a:gd name="T98" fmla="*/ 182 w 195"/>
                <a:gd name="T99" fmla="*/ 525 h 160"/>
                <a:gd name="T100" fmla="*/ 147 w 195"/>
                <a:gd name="T101" fmla="*/ 595 h 160"/>
                <a:gd name="T102" fmla="*/ 125 w 195"/>
                <a:gd name="T103" fmla="*/ 676 h 160"/>
                <a:gd name="T104" fmla="*/ 66 w 195"/>
                <a:gd name="T105" fmla="*/ 720 h 160"/>
                <a:gd name="T106" fmla="*/ 26 w 195"/>
                <a:gd name="T107" fmla="*/ 768 h 160"/>
                <a:gd name="T108" fmla="*/ 1 w 195"/>
                <a:gd name="T109" fmla="*/ 919 h 160"/>
                <a:gd name="T110" fmla="*/ 26 w 195"/>
                <a:gd name="T111" fmla="*/ 999 h 160"/>
                <a:gd name="T112" fmla="*/ 66 w 195"/>
                <a:gd name="T113" fmla="*/ 1088 h 160"/>
                <a:gd name="T114" fmla="*/ 66 w 195"/>
                <a:gd name="T115" fmla="*/ 1164 h 160"/>
                <a:gd name="T116" fmla="*/ 93 w 195"/>
                <a:gd name="T117" fmla="*/ 1205 h 160"/>
                <a:gd name="T118" fmla="*/ 154 w 195"/>
                <a:gd name="T119" fmla="*/ 1231 h 160"/>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195" h="160">
                  <a:moveTo>
                    <a:pt x="20" y="147"/>
                  </a:moveTo>
                  <a:lnTo>
                    <a:pt x="21" y="144"/>
                  </a:lnTo>
                  <a:lnTo>
                    <a:pt x="30" y="139"/>
                  </a:lnTo>
                  <a:lnTo>
                    <a:pt x="37" y="134"/>
                  </a:lnTo>
                  <a:lnTo>
                    <a:pt x="41" y="134"/>
                  </a:lnTo>
                  <a:lnTo>
                    <a:pt x="46" y="135"/>
                  </a:lnTo>
                  <a:lnTo>
                    <a:pt x="48" y="138"/>
                  </a:lnTo>
                  <a:lnTo>
                    <a:pt x="50" y="144"/>
                  </a:lnTo>
                  <a:lnTo>
                    <a:pt x="51" y="146"/>
                  </a:lnTo>
                  <a:lnTo>
                    <a:pt x="52" y="151"/>
                  </a:lnTo>
                  <a:lnTo>
                    <a:pt x="55" y="155"/>
                  </a:lnTo>
                  <a:lnTo>
                    <a:pt x="58" y="160"/>
                  </a:lnTo>
                  <a:lnTo>
                    <a:pt x="59" y="159"/>
                  </a:lnTo>
                  <a:lnTo>
                    <a:pt x="64" y="153"/>
                  </a:lnTo>
                  <a:lnTo>
                    <a:pt x="68" y="152"/>
                  </a:lnTo>
                  <a:lnTo>
                    <a:pt x="81" y="151"/>
                  </a:lnTo>
                  <a:lnTo>
                    <a:pt x="85" y="151"/>
                  </a:lnTo>
                  <a:lnTo>
                    <a:pt x="88" y="150"/>
                  </a:lnTo>
                  <a:lnTo>
                    <a:pt x="92" y="148"/>
                  </a:lnTo>
                  <a:lnTo>
                    <a:pt x="98" y="141"/>
                  </a:lnTo>
                  <a:lnTo>
                    <a:pt x="101" y="140"/>
                  </a:lnTo>
                  <a:lnTo>
                    <a:pt x="105" y="140"/>
                  </a:lnTo>
                  <a:lnTo>
                    <a:pt x="108" y="140"/>
                  </a:lnTo>
                  <a:lnTo>
                    <a:pt x="112" y="138"/>
                  </a:lnTo>
                  <a:lnTo>
                    <a:pt x="132" y="135"/>
                  </a:lnTo>
                  <a:lnTo>
                    <a:pt x="137" y="134"/>
                  </a:lnTo>
                  <a:lnTo>
                    <a:pt x="155" y="130"/>
                  </a:lnTo>
                  <a:lnTo>
                    <a:pt x="170" y="126"/>
                  </a:lnTo>
                  <a:lnTo>
                    <a:pt x="173" y="128"/>
                  </a:lnTo>
                  <a:lnTo>
                    <a:pt x="176" y="130"/>
                  </a:lnTo>
                  <a:lnTo>
                    <a:pt x="180" y="132"/>
                  </a:lnTo>
                  <a:lnTo>
                    <a:pt x="183" y="130"/>
                  </a:lnTo>
                  <a:lnTo>
                    <a:pt x="189" y="121"/>
                  </a:lnTo>
                  <a:lnTo>
                    <a:pt x="195" y="121"/>
                  </a:lnTo>
                  <a:lnTo>
                    <a:pt x="194" y="115"/>
                  </a:lnTo>
                  <a:lnTo>
                    <a:pt x="195" y="111"/>
                  </a:lnTo>
                  <a:lnTo>
                    <a:pt x="195" y="107"/>
                  </a:lnTo>
                  <a:lnTo>
                    <a:pt x="194" y="102"/>
                  </a:lnTo>
                  <a:lnTo>
                    <a:pt x="192" y="98"/>
                  </a:lnTo>
                  <a:lnTo>
                    <a:pt x="190" y="94"/>
                  </a:lnTo>
                  <a:lnTo>
                    <a:pt x="191" y="89"/>
                  </a:lnTo>
                  <a:lnTo>
                    <a:pt x="191" y="85"/>
                  </a:lnTo>
                  <a:lnTo>
                    <a:pt x="190" y="74"/>
                  </a:lnTo>
                  <a:lnTo>
                    <a:pt x="190" y="69"/>
                  </a:lnTo>
                  <a:lnTo>
                    <a:pt x="190" y="67"/>
                  </a:lnTo>
                  <a:lnTo>
                    <a:pt x="192" y="61"/>
                  </a:lnTo>
                  <a:lnTo>
                    <a:pt x="191" y="55"/>
                  </a:lnTo>
                  <a:lnTo>
                    <a:pt x="190" y="51"/>
                  </a:lnTo>
                  <a:lnTo>
                    <a:pt x="187" y="46"/>
                  </a:lnTo>
                  <a:lnTo>
                    <a:pt x="184" y="41"/>
                  </a:lnTo>
                  <a:lnTo>
                    <a:pt x="183" y="35"/>
                  </a:lnTo>
                  <a:lnTo>
                    <a:pt x="185" y="31"/>
                  </a:lnTo>
                  <a:lnTo>
                    <a:pt x="187" y="25"/>
                  </a:lnTo>
                  <a:lnTo>
                    <a:pt x="187" y="21"/>
                  </a:lnTo>
                  <a:lnTo>
                    <a:pt x="186" y="15"/>
                  </a:lnTo>
                  <a:lnTo>
                    <a:pt x="182" y="11"/>
                  </a:lnTo>
                  <a:lnTo>
                    <a:pt x="178" y="9"/>
                  </a:lnTo>
                  <a:lnTo>
                    <a:pt x="173" y="7"/>
                  </a:lnTo>
                  <a:lnTo>
                    <a:pt x="166" y="4"/>
                  </a:lnTo>
                  <a:lnTo>
                    <a:pt x="158" y="8"/>
                  </a:lnTo>
                  <a:lnTo>
                    <a:pt x="151" y="7"/>
                  </a:lnTo>
                  <a:lnTo>
                    <a:pt x="149" y="8"/>
                  </a:lnTo>
                  <a:lnTo>
                    <a:pt x="144" y="4"/>
                  </a:lnTo>
                  <a:lnTo>
                    <a:pt x="140" y="3"/>
                  </a:lnTo>
                  <a:lnTo>
                    <a:pt x="137" y="4"/>
                  </a:lnTo>
                  <a:lnTo>
                    <a:pt x="136" y="4"/>
                  </a:lnTo>
                  <a:lnTo>
                    <a:pt x="131" y="1"/>
                  </a:lnTo>
                  <a:lnTo>
                    <a:pt x="127" y="0"/>
                  </a:lnTo>
                  <a:lnTo>
                    <a:pt x="124" y="1"/>
                  </a:lnTo>
                  <a:lnTo>
                    <a:pt x="121" y="6"/>
                  </a:lnTo>
                  <a:lnTo>
                    <a:pt x="118" y="9"/>
                  </a:lnTo>
                  <a:lnTo>
                    <a:pt x="112" y="17"/>
                  </a:lnTo>
                  <a:lnTo>
                    <a:pt x="108" y="20"/>
                  </a:lnTo>
                  <a:lnTo>
                    <a:pt x="93" y="29"/>
                  </a:lnTo>
                  <a:lnTo>
                    <a:pt x="90" y="31"/>
                  </a:lnTo>
                  <a:lnTo>
                    <a:pt x="90" y="33"/>
                  </a:lnTo>
                  <a:lnTo>
                    <a:pt x="95" y="37"/>
                  </a:lnTo>
                  <a:lnTo>
                    <a:pt x="94" y="39"/>
                  </a:lnTo>
                  <a:lnTo>
                    <a:pt x="90" y="45"/>
                  </a:lnTo>
                  <a:lnTo>
                    <a:pt x="88" y="45"/>
                  </a:lnTo>
                  <a:lnTo>
                    <a:pt x="85" y="44"/>
                  </a:lnTo>
                  <a:lnTo>
                    <a:pt x="78" y="48"/>
                  </a:lnTo>
                  <a:lnTo>
                    <a:pt x="75" y="48"/>
                  </a:lnTo>
                  <a:lnTo>
                    <a:pt x="70" y="46"/>
                  </a:lnTo>
                  <a:lnTo>
                    <a:pt x="60" y="46"/>
                  </a:lnTo>
                  <a:lnTo>
                    <a:pt x="56" y="47"/>
                  </a:lnTo>
                  <a:lnTo>
                    <a:pt x="54" y="47"/>
                  </a:lnTo>
                  <a:lnTo>
                    <a:pt x="50" y="44"/>
                  </a:lnTo>
                  <a:lnTo>
                    <a:pt x="48" y="45"/>
                  </a:lnTo>
                  <a:lnTo>
                    <a:pt x="44" y="46"/>
                  </a:lnTo>
                  <a:lnTo>
                    <a:pt x="42" y="44"/>
                  </a:lnTo>
                  <a:lnTo>
                    <a:pt x="39" y="40"/>
                  </a:lnTo>
                  <a:lnTo>
                    <a:pt x="37" y="41"/>
                  </a:lnTo>
                  <a:lnTo>
                    <a:pt x="34" y="46"/>
                  </a:lnTo>
                  <a:lnTo>
                    <a:pt x="33" y="48"/>
                  </a:lnTo>
                  <a:lnTo>
                    <a:pt x="26" y="52"/>
                  </a:lnTo>
                  <a:lnTo>
                    <a:pt x="21" y="56"/>
                  </a:lnTo>
                  <a:lnTo>
                    <a:pt x="21" y="58"/>
                  </a:lnTo>
                  <a:lnTo>
                    <a:pt x="22" y="60"/>
                  </a:lnTo>
                  <a:lnTo>
                    <a:pt x="22" y="62"/>
                  </a:lnTo>
                  <a:lnTo>
                    <a:pt x="19" y="66"/>
                  </a:lnTo>
                  <a:lnTo>
                    <a:pt x="18" y="70"/>
                  </a:lnTo>
                  <a:lnTo>
                    <a:pt x="17" y="74"/>
                  </a:lnTo>
                  <a:lnTo>
                    <a:pt x="15" y="80"/>
                  </a:lnTo>
                  <a:lnTo>
                    <a:pt x="13" y="84"/>
                  </a:lnTo>
                  <a:lnTo>
                    <a:pt x="8" y="86"/>
                  </a:lnTo>
                  <a:lnTo>
                    <a:pt x="5" y="87"/>
                  </a:lnTo>
                  <a:lnTo>
                    <a:pt x="3" y="91"/>
                  </a:lnTo>
                  <a:lnTo>
                    <a:pt x="0" y="98"/>
                  </a:lnTo>
                  <a:lnTo>
                    <a:pt x="1" y="109"/>
                  </a:lnTo>
                  <a:lnTo>
                    <a:pt x="1" y="116"/>
                  </a:lnTo>
                  <a:lnTo>
                    <a:pt x="3" y="119"/>
                  </a:lnTo>
                  <a:lnTo>
                    <a:pt x="7" y="125"/>
                  </a:lnTo>
                  <a:lnTo>
                    <a:pt x="8" y="129"/>
                  </a:lnTo>
                  <a:lnTo>
                    <a:pt x="9" y="132"/>
                  </a:lnTo>
                  <a:lnTo>
                    <a:pt x="8" y="138"/>
                  </a:lnTo>
                  <a:lnTo>
                    <a:pt x="9" y="141"/>
                  </a:lnTo>
                  <a:lnTo>
                    <a:pt x="11" y="143"/>
                  </a:lnTo>
                  <a:lnTo>
                    <a:pt x="16" y="145"/>
                  </a:lnTo>
                  <a:lnTo>
                    <a:pt x="19" y="146"/>
                  </a:lnTo>
                  <a:lnTo>
                    <a:pt x="20" y="147"/>
                  </a:lnTo>
                  <a:close/>
                </a:path>
              </a:pathLst>
            </a:custGeom>
            <a:solidFill>
              <a:schemeClr val="accent5">
                <a:lumMod val="40000"/>
                <a:lumOff val="6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60" name="Freeform 44">
              <a:extLst>
                <a:ext uri="{FF2B5EF4-FFF2-40B4-BE49-F238E27FC236}">
                  <a16:creationId xmlns:a16="http://schemas.microsoft.com/office/drawing/2014/main" id="{00000000-0008-0000-0900-0000387E1200}"/>
                </a:ext>
              </a:extLst>
            </xdr:cNvPr>
            <xdr:cNvSpPr>
              <a:spLocks noChangeAspect="1"/>
            </xdr:cNvSpPr>
          </xdr:nvSpPr>
          <xdr:spPr bwMode="auto">
            <a:xfrm rot="238154">
              <a:off x="651" y="3122"/>
              <a:ext cx="24" cy="40"/>
            </a:xfrm>
            <a:custGeom>
              <a:avLst/>
              <a:gdLst>
                <a:gd name="T0" fmla="*/ 53 w 21"/>
                <a:gd name="T1" fmla="*/ 88 h 31"/>
                <a:gd name="T2" fmla="*/ 56 w 21"/>
                <a:gd name="T3" fmla="*/ 98 h 31"/>
                <a:gd name="T4" fmla="*/ 61 w 21"/>
                <a:gd name="T5" fmla="*/ 139 h 31"/>
                <a:gd name="T6" fmla="*/ 64 w 21"/>
                <a:gd name="T7" fmla="*/ 179 h 31"/>
                <a:gd name="T8" fmla="*/ 70 w 21"/>
                <a:gd name="T9" fmla="*/ 208 h 31"/>
                <a:gd name="T10" fmla="*/ 73 w 21"/>
                <a:gd name="T11" fmla="*/ 231 h 31"/>
                <a:gd name="T12" fmla="*/ 80 w 21"/>
                <a:gd name="T13" fmla="*/ 265 h 31"/>
                <a:gd name="T14" fmla="*/ 80 w 21"/>
                <a:gd name="T15" fmla="*/ 268 h 31"/>
                <a:gd name="T16" fmla="*/ 80 w 21"/>
                <a:gd name="T17" fmla="*/ 271 h 31"/>
                <a:gd name="T18" fmla="*/ 75 w 21"/>
                <a:gd name="T19" fmla="*/ 316 h 31"/>
                <a:gd name="T20" fmla="*/ 73 w 21"/>
                <a:gd name="T21" fmla="*/ 350 h 31"/>
                <a:gd name="T22" fmla="*/ 73 w 21"/>
                <a:gd name="T23" fmla="*/ 369 h 31"/>
                <a:gd name="T24" fmla="*/ 64 w 21"/>
                <a:gd name="T25" fmla="*/ 397 h 31"/>
                <a:gd name="T26" fmla="*/ 61 w 21"/>
                <a:gd name="T27" fmla="*/ 397 h 31"/>
                <a:gd name="T28" fmla="*/ 53 w 21"/>
                <a:gd name="T29" fmla="*/ 397 h 31"/>
                <a:gd name="T30" fmla="*/ 43 w 21"/>
                <a:gd name="T31" fmla="*/ 369 h 31"/>
                <a:gd name="T32" fmla="*/ 29 w 21"/>
                <a:gd name="T33" fmla="*/ 316 h 31"/>
                <a:gd name="T34" fmla="*/ 17 w 21"/>
                <a:gd name="T35" fmla="*/ 265 h 31"/>
                <a:gd name="T36" fmla="*/ 3 w 21"/>
                <a:gd name="T37" fmla="*/ 245 h 31"/>
                <a:gd name="T38" fmla="*/ 2 w 21"/>
                <a:gd name="T39" fmla="*/ 190 h 31"/>
                <a:gd name="T40" fmla="*/ 0 w 21"/>
                <a:gd name="T41" fmla="*/ 147 h 31"/>
                <a:gd name="T42" fmla="*/ 0 w 21"/>
                <a:gd name="T43" fmla="*/ 98 h 31"/>
                <a:gd name="T44" fmla="*/ 0 w 21"/>
                <a:gd name="T45" fmla="*/ 76 h 31"/>
                <a:gd name="T46" fmla="*/ 1 w 21"/>
                <a:gd name="T47" fmla="*/ 59 h 31"/>
                <a:gd name="T48" fmla="*/ 2 w 21"/>
                <a:gd name="T49" fmla="*/ 28 h 31"/>
                <a:gd name="T50" fmla="*/ 22 w 21"/>
                <a:gd name="T51" fmla="*/ 1 h 31"/>
                <a:gd name="T52" fmla="*/ 25 w 21"/>
                <a:gd name="T53" fmla="*/ 0 h 31"/>
                <a:gd name="T54" fmla="*/ 38 w 21"/>
                <a:gd name="T55" fmla="*/ 0 h 31"/>
                <a:gd name="T56" fmla="*/ 43 w 21"/>
                <a:gd name="T57" fmla="*/ 1 h 31"/>
                <a:gd name="T58" fmla="*/ 46 w 21"/>
                <a:gd name="T59" fmla="*/ 36 h 31"/>
                <a:gd name="T60" fmla="*/ 53 w 21"/>
                <a:gd name="T61" fmla="*/ 88 h 31"/>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0" t="0" r="r" b="b"/>
              <a:pathLst>
                <a:path w="21" h="31">
                  <a:moveTo>
                    <a:pt x="14" y="7"/>
                  </a:moveTo>
                  <a:lnTo>
                    <a:pt x="15" y="8"/>
                  </a:lnTo>
                  <a:lnTo>
                    <a:pt x="16" y="11"/>
                  </a:lnTo>
                  <a:lnTo>
                    <a:pt x="17" y="14"/>
                  </a:lnTo>
                  <a:lnTo>
                    <a:pt x="18" y="16"/>
                  </a:lnTo>
                  <a:lnTo>
                    <a:pt x="19" y="18"/>
                  </a:lnTo>
                  <a:lnTo>
                    <a:pt x="21" y="20"/>
                  </a:lnTo>
                  <a:lnTo>
                    <a:pt x="21" y="21"/>
                  </a:lnTo>
                  <a:lnTo>
                    <a:pt x="21" y="22"/>
                  </a:lnTo>
                  <a:lnTo>
                    <a:pt x="20" y="25"/>
                  </a:lnTo>
                  <a:lnTo>
                    <a:pt x="19" y="28"/>
                  </a:lnTo>
                  <a:lnTo>
                    <a:pt x="19" y="29"/>
                  </a:lnTo>
                  <a:lnTo>
                    <a:pt x="17" y="31"/>
                  </a:lnTo>
                  <a:lnTo>
                    <a:pt x="16" y="31"/>
                  </a:lnTo>
                  <a:lnTo>
                    <a:pt x="14" y="31"/>
                  </a:lnTo>
                  <a:lnTo>
                    <a:pt x="11" y="29"/>
                  </a:lnTo>
                  <a:lnTo>
                    <a:pt x="8" y="25"/>
                  </a:lnTo>
                  <a:lnTo>
                    <a:pt x="4" y="20"/>
                  </a:lnTo>
                  <a:lnTo>
                    <a:pt x="3" y="19"/>
                  </a:lnTo>
                  <a:lnTo>
                    <a:pt x="2" y="15"/>
                  </a:lnTo>
                  <a:lnTo>
                    <a:pt x="0" y="12"/>
                  </a:lnTo>
                  <a:lnTo>
                    <a:pt x="0" y="8"/>
                  </a:lnTo>
                  <a:lnTo>
                    <a:pt x="0" y="6"/>
                  </a:lnTo>
                  <a:lnTo>
                    <a:pt x="1" y="5"/>
                  </a:lnTo>
                  <a:lnTo>
                    <a:pt x="2" y="2"/>
                  </a:lnTo>
                  <a:lnTo>
                    <a:pt x="6" y="1"/>
                  </a:lnTo>
                  <a:lnTo>
                    <a:pt x="7" y="0"/>
                  </a:lnTo>
                  <a:lnTo>
                    <a:pt x="10" y="0"/>
                  </a:lnTo>
                  <a:lnTo>
                    <a:pt x="11" y="1"/>
                  </a:lnTo>
                  <a:lnTo>
                    <a:pt x="12" y="3"/>
                  </a:lnTo>
                  <a:lnTo>
                    <a:pt x="14" y="7"/>
                  </a:lnTo>
                  <a:close/>
                </a:path>
              </a:pathLst>
            </a:custGeom>
            <a:solidFill>
              <a:schemeClr val="accent5">
                <a:lumMod val="40000"/>
                <a:lumOff val="60000"/>
              </a:schemeClr>
            </a:solidFill>
            <a:ln>
              <a:noFill/>
            </a:ln>
            <a:extLst>
              <a:ext uri="{91240B29-F687-4F45-9708-019B960494DF}">
                <a14:hiddenLine xmlns:a14="http://schemas.microsoft.com/office/drawing/2010/main" w="12700">
                  <a:solidFill>
                    <a:srgbClr val="000000"/>
                  </a:solidFill>
                  <a:prstDash val="solid"/>
                  <a:round/>
                  <a:headEnd/>
                  <a:tailEnd/>
                </a14:hiddenLine>
              </a:ext>
            </a:extLst>
          </xdr:spPr>
        </xdr:sp>
        <xdr:sp macro="" textlink="">
          <xdr:nvSpPr>
            <xdr:cNvPr id="1211961" name="Freeform 45">
              <a:extLst>
                <a:ext uri="{FF2B5EF4-FFF2-40B4-BE49-F238E27FC236}">
                  <a16:creationId xmlns:a16="http://schemas.microsoft.com/office/drawing/2014/main" id="{00000000-0008-0000-0900-0000397E1200}"/>
                </a:ext>
              </a:extLst>
            </xdr:cNvPr>
            <xdr:cNvSpPr>
              <a:spLocks noChangeAspect="1"/>
            </xdr:cNvSpPr>
          </xdr:nvSpPr>
          <xdr:spPr bwMode="auto">
            <a:xfrm rot="238154">
              <a:off x="865" y="3127"/>
              <a:ext cx="160" cy="83"/>
            </a:xfrm>
            <a:custGeom>
              <a:avLst/>
              <a:gdLst>
                <a:gd name="T0" fmla="*/ 132 w 130"/>
                <a:gd name="T1" fmla="*/ 574 h 67"/>
                <a:gd name="T2" fmla="*/ 76 w 130"/>
                <a:gd name="T3" fmla="*/ 526 h 67"/>
                <a:gd name="T4" fmla="*/ 2 w 130"/>
                <a:gd name="T5" fmla="*/ 463 h 67"/>
                <a:gd name="T6" fmla="*/ 62 w 130"/>
                <a:gd name="T7" fmla="*/ 379 h 67"/>
                <a:gd name="T8" fmla="*/ 39 w 130"/>
                <a:gd name="T9" fmla="*/ 296 h 67"/>
                <a:gd name="T10" fmla="*/ 0 w 130"/>
                <a:gd name="T11" fmla="*/ 193 h 67"/>
                <a:gd name="T12" fmla="*/ 176 w 130"/>
                <a:gd name="T13" fmla="*/ 185 h 67"/>
                <a:gd name="T14" fmla="*/ 341 w 130"/>
                <a:gd name="T15" fmla="*/ 62 h 67"/>
                <a:gd name="T16" fmla="*/ 427 w 130"/>
                <a:gd name="T17" fmla="*/ 62 h 67"/>
                <a:gd name="T18" fmla="*/ 736 w 130"/>
                <a:gd name="T19" fmla="*/ 50 h 67"/>
                <a:gd name="T20" fmla="*/ 818 w 130"/>
                <a:gd name="T21" fmla="*/ 146 h 67"/>
                <a:gd name="T22" fmla="*/ 873 w 130"/>
                <a:gd name="T23" fmla="*/ 224 h 67"/>
                <a:gd name="T24" fmla="*/ 977 w 130"/>
                <a:gd name="T25" fmla="*/ 224 h 67"/>
                <a:gd name="T26" fmla="*/ 1004 w 130"/>
                <a:gd name="T27" fmla="*/ 285 h 67"/>
                <a:gd name="T28" fmla="*/ 1036 w 130"/>
                <a:gd name="T29" fmla="*/ 343 h 67"/>
                <a:gd name="T30" fmla="*/ 977 w 130"/>
                <a:gd name="T31" fmla="*/ 367 h 67"/>
                <a:gd name="T32" fmla="*/ 897 w 130"/>
                <a:gd name="T33" fmla="*/ 317 h 67"/>
                <a:gd name="T34" fmla="*/ 839 w 130"/>
                <a:gd name="T35" fmla="*/ 296 h 67"/>
                <a:gd name="T36" fmla="*/ 762 w 130"/>
                <a:gd name="T37" fmla="*/ 296 h 67"/>
                <a:gd name="T38" fmla="*/ 724 w 130"/>
                <a:gd name="T39" fmla="*/ 326 h 67"/>
                <a:gd name="T40" fmla="*/ 682 w 130"/>
                <a:gd name="T41" fmla="*/ 353 h 67"/>
                <a:gd name="T42" fmla="*/ 636 w 130"/>
                <a:gd name="T43" fmla="*/ 352 h 67"/>
                <a:gd name="T44" fmla="*/ 619 w 130"/>
                <a:gd name="T45" fmla="*/ 379 h 67"/>
                <a:gd name="T46" fmla="*/ 564 w 130"/>
                <a:gd name="T47" fmla="*/ 396 h 67"/>
                <a:gd name="T48" fmla="*/ 503 w 130"/>
                <a:gd name="T49" fmla="*/ 420 h 67"/>
                <a:gd name="T50" fmla="*/ 450 w 130"/>
                <a:gd name="T51" fmla="*/ 396 h 67"/>
                <a:gd name="T52" fmla="*/ 388 w 130"/>
                <a:gd name="T53" fmla="*/ 396 h 67"/>
                <a:gd name="T54" fmla="*/ 336 w 130"/>
                <a:gd name="T55" fmla="*/ 436 h 67"/>
                <a:gd name="T56" fmla="*/ 267 w 130"/>
                <a:gd name="T57" fmla="*/ 467 h 67"/>
                <a:gd name="T58" fmla="*/ 199 w 130"/>
                <a:gd name="T59" fmla="*/ 526 h 67"/>
                <a:gd name="T60" fmla="*/ 169 w 130"/>
                <a:gd name="T61" fmla="*/ 540 h 67"/>
                <a:gd name="T62" fmla="*/ 132 w 130"/>
                <a:gd name="T63" fmla="*/ 574 h 67"/>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0" t="0" r="r" b="b"/>
              <a:pathLst>
                <a:path w="130" h="67">
                  <a:moveTo>
                    <a:pt x="16" y="67"/>
                  </a:moveTo>
                  <a:lnTo>
                    <a:pt x="16" y="67"/>
                  </a:lnTo>
                  <a:lnTo>
                    <a:pt x="13" y="64"/>
                  </a:lnTo>
                  <a:lnTo>
                    <a:pt x="10" y="62"/>
                  </a:lnTo>
                  <a:lnTo>
                    <a:pt x="6" y="59"/>
                  </a:lnTo>
                  <a:lnTo>
                    <a:pt x="2" y="54"/>
                  </a:lnTo>
                  <a:lnTo>
                    <a:pt x="6" y="50"/>
                  </a:lnTo>
                  <a:lnTo>
                    <a:pt x="8" y="45"/>
                  </a:lnTo>
                  <a:lnTo>
                    <a:pt x="7" y="41"/>
                  </a:lnTo>
                  <a:lnTo>
                    <a:pt x="5" y="35"/>
                  </a:lnTo>
                  <a:lnTo>
                    <a:pt x="0" y="27"/>
                  </a:lnTo>
                  <a:lnTo>
                    <a:pt x="0" y="23"/>
                  </a:lnTo>
                  <a:lnTo>
                    <a:pt x="2" y="20"/>
                  </a:lnTo>
                  <a:lnTo>
                    <a:pt x="22" y="22"/>
                  </a:lnTo>
                  <a:lnTo>
                    <a:pt x="30" y="14"/>
                  </a:lnTo>
                  <a:lnTo>
                    <a:pt x="43" y="7"/>
                  </a:lnTo>
                  <a:lnTo>
                    <a:pt x="48" y="6"/>
                  </a:lnTo>
                  <a:lnTo>
                    <a:pt x="54" y="7"/>
                  </a:lnTo>
                  <a:lnTo>
                    <a:pt x="83" y="0"/>
                  </a:lnTo>
                  <a:lnTo>
                    <a:pt x="93" y="6"/>
                  </a:lnTo>
                  <a:lnTo>
                    <a:pt x="99" y="12"/>
                  </a:lnTo>
                  <a:lnTo>
                    <a:pt x="103" y="17"/>
                  </a:lnTo>
                  <a:lnTo>
                    <a:pt x="106" y="23"/>
                  </a:lnTo>
                  <a:lnTo>
                    <a:pt x="110" y="26"/>
                  </a:lnTo>
                  <a:lnTo>
                    <a:pt x="116" y="25"/>
                  </a:lnTo>
                  <a:lnTo>
                    <a:pt x="122" y="26"/>
                  </a:lnTo>
                  <a:lnTo>
                    <a:pt x="124" y="27"/>
                  </a:lnTo>
                  <a:lnTo>
                    <a:pt x="126" y="34"/>
                  </a:lnTo>
                  <a:lnTo>
                    <a:pt x="130" y="39"/>
                  </a:lnTo>
                  <a:lnTo>
                    <a:pt x="130" y="40"/>
                  </a:lnTo>
                  <a:lnTo>
                    <a:pt x="126" y="43"/>
                  </a:lnTo>
                  <a:lnTo>
                    <a:pt x="122" y="43"/>
                  </a:lnTo>
                  <a:lnTo>
                    <a:pt x="118" y="40"/>
                  </a:lnTo>
                  <a:lnTo>
                    <a:pt x="113" y="37"/>
                  </a:lnTo>
                  <a:lnTo>
                    <a:pt x="108" y="35"/>
                  </a:lnTo>
                  <a:lnTo>
                    <a:pt x="105" y="35"/>
                  </a:lnTo>
                  <a:lnTo>
                    <a:pt x="100" y="35"/>
                  </a:lnTo>
                  <a:lnTo>
                    <a:pt x="96" y="35"/>
                  </a:lnTo>
                  <a:lnTo>
                    <a:pt x="93" y="37"/>
                  </a:lnTo>
                  <a:lnTo>
                    <a:pt x="90" y="39"/>
                  </a:lnTo>
                  <a:lnTo>
                    <a:pt x="88" y="41"/>
                  </a:lnTo>
                  <a:lnTo>
                    <a:pt x="85" y="42"/>
                  </a:lnTo>
                  <a:lnTo>
                    <a:pt x="82" y="43"/>
                  </a:lnTo>
                  <a:lnTo>
                    <a:pt x="80" y="41"/>
                  </a:lnTo>
                  <a:lnTo>
                    <a:pt x="79" y="44"/>
                  </a:lnTo>
                  <a:lnTo>
                    <a:pt x="78" y="45"/>
                  </a:lnTo>
                  <a:lnTo>
                    <a:pt x="74" y="46"/>
                  </a:lnTo>
                  <a:lnTo>
                    <a:pt x="71" y="47"/>
                  </a:lnTo>
                  <a:lnTo>
                    <a:pt x="66" y="49"/>
                  </a:lnTo>
                  <a:lnTo>
                    <a:pt x="63" y="49"/>
                  </a:lnTo>
                  <a:lnTo>
                    <a:pt x="61" y="46"/>
                  </a:lnTo>
                  <a:lnTo>
                    <a:pt x="56" y="47"/>
                  </a:lnTo>
                  <a:lnTo>
                    <a:pt x="52" y="47"/>
                  </a:lnTo>
                  <a:lnTo>
                    <a:pt x="48" y="47"/>
                  </a:lnTo>
                  <a:lnTo>
                    <a:pt x="45" y="49"/>
                  </a:lnTo>
                  <a:lnTo>
                    <a:pt x="42" y="51"/>
                  </a:lnTo>
                  <a:lnTo>
                    <a:pt x="34" y="54"/>
                  </a:lnTo>
                  <a:lnTo>
                    <a:pt x="33" y="55"/>
                  </a:lnTo>
                  <a:lnTo>
                    <a:pt x="28" y="60"/>
                  </a:lnTo>
                  <a:lnTo>
                    <a:pt x="25" y="62"/>
                  </a:lnTo>
                  <a:lnTo>
                    <a:pt x="23" y="63"/>
                  </a:lnTo>
                  <a:lnTo>
                    <a:pt x="21" y="63"/>
                  </a:lnTo>
                  <a:lnTo>
                    <a:pt x="19" y="64"/>
                  </a:lnTo>
                  <a:lnTo>
                    <a:pt x="16" y="67"/>
                  </a:lnTo>
                  <a:close/>
                </a:path>
              </a:pathLst>
            </a:custGeom>
            <a:solidFill>
              <a:schemeClr val="accent5">
                <a:lumMod val="40000"/>
                <a:lumOff val="6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62" name="Freeform 46">
              <a:extLst>
                <a:ext uri="{FF2B5EF4-FFF2-40B4-BE49-F238E27FC236}">
                  <a16:creationId xmlns:a16="http://schemas.microsoft.com/office/drawing/2014/main" id="{00000000-0008-0000-0900-00003A7E1200}"/>
                </a:ext>
              </a:extLst>
            </xdr:cNvPr>
            <xdr:cNvSpPr>
              <a:spLocks noChangeAspect="1"/>
            </xdr:cNvSpPr>
          </xdr:nvSpPr>
          <xdr:spPr bwMode="auto">
            <a:xfrm rot="238154">
              <a:off x="556" y="3154"/>
              <a:ext cx="320" cy="254"/>
            </a:xfrm>
            <a:custGeom>
              <a:avLst/>
              <a:gdLst>
                <a:gd name="T0" fmla="*/ 554 w 260"/>
                <a:gd name="T1" fmla="*/ 1738 h 205"/>
                <a:gd name="T2" fmla="*/ 478 w 260"/>
                <a:gd name="T3" fmla="*/ 1647 h 205"/>
                <a:gd name="T4" fmla="*/ 479 w 260"/>
                <a:gd name="T5" fmla="*/ 1560 h 205"/>
                <a:gd name="T6" fmla="*/ 388 w 260"/>
                <a:gd name="T7" fmla="*/ 1541 h 205"/>
                <a:gd name="T8" fmla="*/ 439 w 260"/>
                <a:gd name="T9" fmla="*/ 1496 h 205"/>
                <a:gd name="T10" fmla="*/ 450 w 260"/>
                <a:gd name="T11" fmla="*/ 1289 h 205"/>
                <a:gd name="T12" fmla="*/ 503 w 260"/>
                <a:gd name="T13" fmla="*/ 1207 h 205"/>
                <a:gd name="T14" fmla="*/ 481 w 260"/>
                <a:gd name="T15" fmla="*/ 1147 h 205"/>
                <a:gd name="T16" fmla="*/ 405 w 260"/>
                <a:gd name="T17" fmla="*/ 1067 h 205"/>
                <a:gd name="T18" fmla="*/ 414 w 260"/>
                <a:gd name="T19" fmla="*/ 914 h 205"/>
                <a:gd name="T20" fmla="*/ 59 w 260"/>
                <a:gd name="T21" fmla="*/ 1014 h 205"/>
                <a:gd name="T22" fmla="*/ 90 w 260"/>
                <a:gd name="T23" fmla="*/ 957 h 205"/>
                <a:gd name="T24" fmla="*/ 315 w 260"/>
                <a:gd name="T25" fmla="*/ 881 h 205"/>
                <a:gd name="T26" fmla="*/ 530 w 260"/>
                <a:gd name="T27" fmla="*/ 717 h 205"/>
                <a:gd name="T28" fmla="*/ 684 w 260"/>
                <a:gd name="T29" fmla="*/ 644 h 205"/>
                <a:gd name="T30" fmla="*/ 818 w 260"/>
                <a:gd name="T31" fmla="*/ 470 h 205"/>
                <a:gd name="T32" fmla="*/ 897 w 260"/>
                <a:gd name="T33" fmla="*/ 296 h 205"/>
                <a:gd name="T34" fmla="*/ 959 w 260"/>
                <a:gd name="T35" fmla="*/ 181 h 205"/>
                <a:gd name="T36" fmla="*/ 1180 w 260"/>
                <a:gd name="T37" fmla="*/ 0 h 205"/>
                <a:gd name="T38" fmla="*/ 1282 w 260"/>
                <a:gd name="T39" fmla="*/ 118 h 205"/>
                <a:gd name="T40" fmla="*/ 1452 w 260"/>
                <a:gd name="T41" fmla="*/ 296 h 205"/>
                <a:gd name="T42" fmla="*/ 1632 w 260"/>
                <a:gd name="T43" fmla="*/ 256 h 205"/>
                <a:gd name="T44" fmla="*/ 1909 w 260"/>
                <a:gd name="T45" fmla="*/ 193 h 205"/>
                <a:gd name="T46" fmla="*/ 2009 w 260"/>
                <a:gd name="T47" fmla="*/ 229 h 205"/>
                <a:gd name="T48" fmla="*/ 2059 w 260"/>
                <a:gd name="T49" fmla="*/ 278 h 205"/>
                <a:gd name="T50" fmla="*/ 2070 w 260"/>
                <a:gd name="T51" fmla="*/ 353 h 205"/>
                <a:gd name="T52" fmla="*/ 2050 w 260"/>
                <a:gd name="T53" fmla="*/ 463 h 205"/>
                <a:gd name="T54" fmla="*/ 1931 w 260"/>
                <a:gd name="T55" fmla="*/ 512 h 205"/>
                <a:gd name="T56" fmla="*/ 1820 w 260"/>
                <a:gd name="T57" fmla="*/ 528 h 205"/>
                <a:gd name="T58" fmla="*/ 1662 w 260"/>
                <a:gd name="T59" fmla="*/ 540 h 205"/>
                <a:gd name="T60" fmla="*/ 1525 w 260"/>
                <a:gd name="T61" fmla="*/ 520 h 205"/>
                <a:gd name="T62" fmla="*/ 1420 w 260"/>
                <a:gd name="T63" fmla="*/ 611 h 205"/>
                <a:gd name="T64" fmla="*/ 1322 w 260"/>
                <a:gd name="T65" fmla="*/ 717 h 205"/>
                <a:gd name="T66" fmla="*/ 1300 w 260"/>
                <a:gd name="T67" fmla="*/ 810 h 205"/>
                <a:gd name="T68" fmla="*/ 1236 w 260"/>
                <a:gd name="T69" fmla="*/ 926 h 205"/>
                <a:gd name="T70" fmla="*/ 1134 w 260"/>
                <a:gd name="T71" fmla="*/ 957 h 205"/>
                <a:gd name="T72" fmla="*/ 1024 w 260"/>
                <a:gd name="T73" fmla="*/ 974 h 205"/>
                <a:gd name="T74" fmla="*/ 1051 w 260"/>
                <a:gd name="T75" fmla="*/ 1092 h 205"/>
                <a:gd name="T76" fmla="*/ 1036 w 260"/>
                <a:gd name="T77" fmla="*/ 1186 h 205"/>
                <a:gd name="T78" fmla="*/ 921 w 260"/>
                <a:gd name="T79" fmla="*/ 1318 h 205"/>
                <a:gd name="T80" fmla="*/ 842 w 260"/>
                <a:gd name="T81" fmla="*/ 1419 h 205"/>
                <a:gd name="T82" fmla="*/ 762 w 260"/>
                <a:gd name="T83" fmla="*/ 1370 h 205"/>
                <a:gd name="T84" fmla="*/ 783 w 260"/>
                <a:gd name="T85" fmla="*/ 1503 h 205"/>
                <a:gd name="T86" fmla="*/ 773 w 260"/>
                <a:gd name="T87" fmla="*/ 1638 h 205"/>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0" t="0" r="r" b="b"/>
              <a:pathLst>
                <a:path w="260" h="205">
                  <a:moveTo>
                    <a:pt x="95" y="205"/>
                  </a:moveTo>
                  <a:lnTo>
                    <a:pt x="92" y="204"/>
                  </a:lnTo>
                  <a:lnTo>
                    <a:pt x="69" y="204"/>
                  </a:lnTo>
                  <a:lnTo>
                    <a:pt x="63" y="204"/>
                  </a:lnTo>
                  <a:lnTo>
                    <a:pt x="59" y="200"/>
                  </a:lnTo>
                  <a:lnTo>
                    <a:pt x="59" y="193"/>
                  </a:lnTo>
                  <a:lnTo>
                    <a:pt x="62" y="189"/>
                  </a:lnTo>
                  <a:lnTo>
                    <a:pt x="62" y="185"/>
                  </a:lnTo>
                  <a:lnTo>
                    <a:pt x="60" y="183"/>
                  </a:lnTo>
                  <a:lnTo>
                    <a:pt x="54" y="183"/>
                  </a:lnTo>
                  <a:lnTo>
                    <a:pt x="49" y="183"/>
                  </a:lnTo>
                  <a:lnTo>
                    <a:pt x="48" y="181"/>
                  </a:lnTo>
                  <a:lnTo>
                    <a:pt x="49" y="178"/>
                  </a:lnTo>
                  <a:lnTo>
                    <a:pt x="51" y="175"/>
                  </a:lnTo>
                  <a:lnTo>
                    <a:pt x="55" y="175"/>
                  </a:lnTo>
                  <a:lnTo>
                    <a:pt x="58" y="174"/>
                  </a:lnTo>
                  <a:lnTo>
                    <a:pt x="58" y="171"/>
                  </a:lnTo>
                  <a:lnTo>
                    <a:pt x="56" y="151"/>
                  </a:lnTo>
                  <a:lnTo>
                    <a:pt x="64" y="149"/>
                  </a:lnTo>
                  <a:lnTo>
                    <a:pt x="64" y="145"/>
                  </a:lnTo>
                  <a:lnTo>
                    <a:pt x="63" y="141"/>
                  </a:lnTo>
                  <a:lnTo>
                    <a:pt x="64" y="139"/>
                  </a:lnTo>
                  <a:lnTo>
                    <a:pt x="63" y="136"/>
                  </a:lnTo>
                  <a:lnTo>
                    <a:pt x="61" y="135"/>
                  </a:lnTo>
                  <a:lnTo>
                    <a:pt x="53" y="134"/>
                  </a:lnTo>
                  <a:lnTo>
                    <a:pt x="51" y="132"/>
                  </a:lnTo>
                  <a:lnTo>
                    <a:pt x="50" y="125"/>
                  </a:lnTo>
                  <a:lnTo>
                    <a:pt x="51" y="118"/>
                  </a:lnTo>
                  <a:lnTo>
                    <a:pt x="52" y="114"/>
                  </a:lnTo>
                  <a:lnTo>
                    <a:pt x="52" y="107"/>
                  </a:lnTo>
                  <a:lnTo>
                    <a:pt x="41" y="112"/>
                  </a:lnTo>
                  <a:lnTo>
                    <a:pt x="18" y="122"/>
                  </a:lnTo>
                  <a:lnTo>
                    <a:pt x="7" y="119"/>
                  </a:lnTo>
                  <a:lnTo>
                    <a:pt x="0" y="119"/>
                  </a:lnTo>
                  <a:lnTo>
                    <a:pt x="1" y="118"/>
                  </a:lnTo>
                  <a:lnTo>
                    <a:pt x="11" y="113"/>
                  </a:lnTo>
                  <a:lnTo>
                    <a:pt x="18" y="108"/>
                  </a:lnTo>
                  <a:lnTo>
                    <a:pt x="29" y="106"/>
                  </a:lnTo>
                  <a:lnTo>
                    <a:pt x="39" y="103"/>
                  </a:lnTo>
                  <a:lnTo>
                    <a:pt x="56" y="95"/>
                  </a:lnTo>
                  <a:lnTo>
                    <a:pt x="62" y="90"/>
                  </a:lnTo>
                  <a:lnTo>
                    <a:pt x="67" y="84"/>
                  </a:lnTo>
                  <a:lnTo>
                    <a:pt x="71" y="82"/>
                  </a:lnTo>
                  <a:lnTo>
                    <a:pt x="78" y="79"/>
                  </a:lnTo>
                  <a:lnTo>
                    <a:pt x="86" y="76"/>
                  </a:lnTo>
                  <a:lnTo>
                    <a:pt x="96" y="66"/>
                  </a:lnTo>
                  <a:lnTo>
                    <a:pt x="102" y="59"/>
                  </a:lnTo>
                  <a:lnTo>
                    <a:pt x="103" y="56"/>
                  </a:lnTo>
                  <a:lnTo>
                    <a:pt x="105" y="49"/>
                  </a:lnTo>
                  <a:lnTo>
                    <a:pt x="106" y="46"/>
                  </a:lnTo>
                  <a:lnTo>
                    <a:pt x="113" y="35"/>
                  </a:lnTo>
                  <a:lnTo>
                    <a:pt x="115" y="29"/>
                  </a:lnTo>
                  <a:lnTo>
                    <a:pt x="118" y="24"/>
                  </a:lnTo>
                  <a:lnTo>
                    <a:pt x="120" y="21"/>
                  </a:lnTo>
                  <a:lnTo>
                    <a:pt x="133" y="12"/>
                  </a:lnTo>
                  <a:lnTo>
                    <a:pt x="144" y="4"/>
                  </a:lnTo>
                  <a:lnTo>
                    <a:pt x="148" y="0"/>
                  </a:lnTo>
                  <a:lnTo>
                    <a:pt x="151" y="1"/>
                  </a:lnTo>
                  <a:lnTo>
                    <a:pt x="159" y="10"/>
                  </a:lnTo>
                  <a:lnTo>
                    <a:pt x="161" y="14"/>
                  </a:lnTo>
                  <a:lnTo>
                    <a:pt x="168" y="31"/>
                  </a:lnTo>
                  <a:lnTo>
                    <a:pt x="174" y="35"/>
                  </a:lnTo>
                  <a:lnTo>
                    <a:pt x="182" y="35"/>
                  </a:lnTo>
                  <a:lnTo>
                    <a:pt x="192" y="31"/>
                  </a:lnTo>
                  <a:lnTo>
                    <a:pt x="198" y="29"/>
                  </a:lnTo>
                  <a:lnTo>
                    <a:pt x="205" y="30"/>
                  </a:lnTo>
                  <a:lnTo>
                    <a:pt x="224" y="31"/>
                  </a:lnTo>
                  <a:lnTo>
                    <a:pt x="228" y="32"/>
                  </a:lnTo>
                  <a:lnTo>
                    <a:pt x="239" y="23"/>
                  </a:lnTo>
                  <a:lnTo>
                    <a:pt x="244" y="19"/>
                  </a:lnTo>
                  <a:lnTo>
                    <a:pt x="248" y="24"/>
                  </a:lnTo>
                  <a:lnTo>
                    <a:pt x="252" y="27"/>
                  </a:lnTo>
                  <a:lnTo>
                    <a:pt x="255" y="29"/>
                  </a:lnTo>
                  <a:lnTo>
                    <a:pt x="258" y="32"/>
                  </a:lnTo>
                  <a:lnTo>
                    <a:pt x="259" y="34"/>
                  </a:lnTo>
                  <a:lnTo>
                    <a:pt x="260" y="36"/>
                  </a:lnTo>
                  <a:lnTo>
                    <a:pt x="259" y="42"/>
                  </a:lnTo>
                  <a:lnTo>
                    <a:pt x="260" y="43"/>
                  </a:lnTo>
                  <a:lnTo>
                    <a:pt x="260" y="53"/>
                  </a:lnTo>
                  <a:lnTo>
                    <a:pt x="257" y="54"/>
                  </a:lnTo>
                  <a:lnTo>
                    <a:pt x="252" y="55"/>
                  </a:lnTo>
                  <a:lnTo>
                    <a:pt x="246" y="60"/>
                  </a:lnTo>
                  <a:lnTo>
                    <a:pt x="242" y="60"/>
                  </a:lnTo>
                  <a:lnTo>
                    <a:pt x="238" y="61"/>
                  </a:lnTo>
                  <a:lnTo>
                    <a:pt x="232" y="62"/>
                  </a:lnTo>
                  <a:lnTo>
                    <a:pt x="228" y="62"/>
                  </a:lnTo>
                  <a:lnTo>
                    <a:pt x="221" y="61"/>
                  </a:lnTo>
                  <a:lnTo>
                    <a:pt x="217" y="60"/>
                  </a:lnTo>
                  <a:lnTo>
                    <a:pt x="208" y="63"/>
                  </a:lnTo>
                  <a:lnTo>
                    <a:pt x="202" y="63"/>
                  </a:lnTo>
                  <a:lnTo>
                    <a:pt x="198" y="63"/>
                  </a:lnTo>
                  <a:lnTo>
                    <a:pt x="192" y="61"/>
                  </a:lnTo>
                  <a:lnTo>
                    <a:pt x="187" y="63"/>
                  </a:lnTo>
                  <a:lnTo>
                    <a:pt x="182" y="66"/>
                  </a:lnTo>
                  <a:lnTo>
                    <a:pt x="178" y="72"/>
                  </a:lnTo>
                  <a:lnTo>
                    <a:pt x="174" y="77"/>
                  </a:lnTo>
                  <a:lnTo>
                    <a:pt x="171" y="80"/>
                  </a:lnTo>
                  <a:lnTo>
                    <a:pt x="166" y="84"/>
                  </a:lnTo>
                  <a:lnTo>
                    <a:pt x="165" y="87"/>
                  </a:lnTo>
                  <a:lnTo>
                    <a:pt x="163" y="92"/>
                  </a:lnTo>
                  <a:lnTo>
                    <a:pt x="163" y="95"/>
                  </a:lnTo>
                  <a:lnTo>
                    <a:pt x="159" y="101"/>
                  </a:lnTo>
                  <a:lnTo>
                    <a:pt x="157" y="106"/>
                  </a:lnTo>
                  <a:lnTo>
                    <a:pt x="155" y="109"/>
                  </a:lnTo>
                  <a:lnTo>
                    <a:pt x="151" y="112"/>
                  </a:lnTo>
                  <a:lnTo>
                    <a:pt x="145" y="114"/>
                  </a:lnTo>
                  <a:lnTo>
                    <a:pt x="142" y="113"/>
                  </a:lnTo>
                  <a:lnTo>
                    <a:pt x="136" y="113"/>
                  </a:lnTo>
                  <a:lnTo>
                    <a:pt x="132" y="112"/>
                  </a:lnTo>
                  <a:lnTo>
                    <a:pt x="128" y="114"/>
                  </a:lnTo>
                  <a:lnTo>
                    <a:pt x="127" y="118"/>
                  </a:lnTo>
                  <a:lnTo>
                    <a:pt x="128" y="122"/>
                  </a:lnTo>
                  <a:lnTo>
                    <a:pt x="132" y="128"/>
                  </a:lnTo>
                  <a:lnTo>
                    <a:pt x="135" y="135"/>
                  </a:lnTo>
                  <a:lnTo>
                    <a:pt x="133" y="137"/>
                  </a:lnTo>
                  <a:lnTo>
                    <a:pt x="130" y="140"/>
                  </a:lnTo>
                  <a:lnTo>
                    <a:pt x="120" y="147"/>
                  </a:lnTo>
                  <a:lnTo>
                    <a:pt x="118" y="150"/>
                  </a:lnTo>
                  <a:lnTo>
                    <a:pt x="115" y="154"/>
                  </a:lnTo>
                  <a:lnTo>
                    <a:pt x="110" y="157"/>
                  </a:lnTo>
                  <a:lnTo>
                    <a:pt x="109" y="161"/>
                  </a:lnTo>
                  <a:lnTo>
                    <a:pt x="106" y="166"/>
                  </a:lnTo>
                  <a:lnTo>
                    <a:pt x="102" y="164"/>
                  </a:lnTo>
                  <a:lnTo>
                    <a:pt x="97" y="161"/>
                  </a:lnTo>
                  <a:lnTo>
                    <a:pt x="96" y="161"/>
                  </a:lnTo>
                  <a:lnTo>
                    <a:pt x="95" y="164"/>
                  </a:lnTo>
                  <a:lnTo>
                    <a:pt x="96" y="170"/>
                  </a:lnTo>
                  <a:lnTo>
                    <a:pt x="98" y="177"/>
                  </a:lnTo>
                  <a:lnTo>
                    <a:pt x="97" y="182"/>
                  </a:lnTo>
                  <a:lnTo>
                    <a:pt x="97" y="187"/>
                  </a:lnTo>
                  <a:lnTo>
                    <a:pt x="97" y="192"/>
                  </a:lnTo>
                  <a:lnTo>
                    <a:pt x="97" y="200"/>
                  </a:lnTo>
                  <a:lnTo>
                    <a:pt x="95" y="205"/>
                  </a:lnTo>
                  <a:close/>
                </a:path>
              </a:pathLst>
            </a:custGeom>
            <a:solidFill>
              <a:schemeClr val="accent5">
                <a:lumMod val="40000"/>
                <a:lumOff val="6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63" name="Freeform 47">
              <a:extLst>
                <a:ext uri="{FF2B5EF4-FFF2-40B4-BE49-F238E27FC236}">
                  <a16:creationId xmlns:a16="http://schemas.microsoft.com/office/drawing/2014/main" id="{00000000-0008-0000-0900-00003B7E1200}"/>
                </a:ext>
              </a:extLst>
            </xdr:cNvPr>
            <xdr:cNvSpPr>
              <a:spLocks noChangeAspect="1"/>
            </xdr:cNvSpPr>
          </xdr:nvSpPr>
          <xdr:spPr bwMode="auto">
            <a:xfrm rot="238154">
              <a:off x="655" y="3227"/>
              <a:ext cx="323" cy="230"/>
            </a:xfrm>
            <a:custGeom>
              <a:avLst/>
              <a:gdLst>
                <a:gd name="T0" fmla="*/ 118 w 261"/>
                <a:gd name="T1" fmla="*/ 1098 h 187"/>
                <a:gd name="T2" fmla="*/ 135 w 261"/>
                <a:gd name="T3" fmla="*/ 981 h 187"/>
                <a:gd name="T4" fmla="*/ 110 w 261"/>
                <a:gd name="T5" fmla="*/ 857 h 187"/>
                <a:gd name="T6" fmla="*/ 192 w 261"/>
                <a:gd name="T7" fmla="*/ 893 h 187"/>
                <a:gd name="T8" fmla="*/ 277 w 261"/>
                <a:gd name="T9" fmla="*/ 798 h 187"/>
                <a:gd name="T10" fmla="*/ 394 w 261"/>
                <a:gd name="T11" fmla="*/ 689 h 187"/>
                <a:gd name="T12" fmla="*/ 413 w 261"/>
                <a:gd name="T13" fmla="*/ 590 h 187"/>
                <a:gd name="T14" fmla="*/ 376 w 261"/>
                <a:gd name="T15" fmla="*/ 480 h 187"/>
                <a:gd name="T16" fmla="*/ 493 w 261"/>
                <a:gd name="T17" fmla="*/ 478 h 187"/>
                <a:gd name="T18" fmla="*/ 604 w 261"/>
                <a:gd name="T19" fmla="*/ 448 h 187"/>
                <a:gd name="T20" fmla="*/ 676 w 261"/>
                <a:gd name="T21" fmla="*/ 335 h 187"/>
                <a:gd name="T22" fmla="*/ 697 w 261"/>
                <a:gd name="T23" fmla="*/ 245 h 187"/>
                <a:gd name="T24" fmla="*/ 804 w 261"/>
                <a:gd name="T25" fmla="*/ 146 h 187"/>
                <a:gd name="T26" fmla="*/ 919 w 261"/>
                <a:gd name="T27" fmla="*/ 61 h 187"/>
                <a:gd name="T28" fmla="*/ 1059 w 261"/>
                <a:gd name="T29" fmla="*/ 75 h 187"/>
                <a:gd name="T30" fmla="*/ 1223 w 261"/>
                <a:gd name="T31" fmla="*/ 73 h 187"/>
                <a:gd name="T32" fmla="*/ 1343 w 261"/>
                <a:gd name="T33" fmla="*/ 59 h 187"/>
                <a:gd name="T34" fmla="*/ 1463 w 261"/>
                <a:gd name="T35" fmla="*/ 1 h 187"/>
                <a:gd name="T36" fmla="*/ 1523 w 261"/>
                <a:gd name="T37" fmla="*/ 0 h 187"/>
                <a:gd name="T38" fmla="*/ 1636 w 261"/>
                <a:gd name="T39" fmla="*/ 90 h 187"/>
                <a:gd name="T40" fmla="*/ 1719 w 261"/>
                <a:gd name="T41" fmla="*/ 75 h 187"/>
                <a:gd name="T42" fmla="*/ 1780 w 261"/>
                <a:gd name="T43" fmla="*/ 137 h 187"/>
                <a:gd name="T44" fmla="*/ 1893 w 261"/>
                <a:gd name="T45" fmla="*/ 107 h 187"/>
                <a:gd name="T46" fmla="*/ 1964 w 261"/>
                <a:gd name="T47" fmla="*/ 197 h 187"/>
                <a:gd name="T48" fmla="*/ 1947 w 261"/>
                <a:gd name="T49" fmla="*/ 298 h 187"/>
                <a:gd name="T50" fmla="*/ 2032 w 261"/>
                <a:gd name="T51" fmla="*/ 317 h 187"/>
                <a:gd name="T52" fmla="*/ 2057 w 261"/>
                <a:gd name="T53" fmla="*/ 387 h 187"/>
                <a:gd name="T54" fmla="*/ 2057 w 261"/>
                <a:gd name="T55" fmla="*/ 448 h 187"/>
                <a:gd name="T56" fmla="*/ 2136 w 261"/>
                <a:gd name="T57" fmla="*/ 478 h 187"/>
                <a:gd name="T58" fmla="*/ 2203 w 261"/>
                <a:gd name="T59" fmla="*/ 525 h 187"/>
                <a:gd name="T60" fmla="*/ 2025 w 261"/>
                <a:gd name="T61" fmla="*/ 840 h 187"/>
                <a:gd name="T62" fmla="*/ 1636 w 261"/>
                <a:gd name="T63" fmla="*/ 540 h 187"/>
                <a:gd name="T64" fmla="*/ 1231 w 261"/>
                <a:gd name="T65" fmla="*/ 525 h 187"/>
                <a:gd name="T66" fmla="*/ 891 w 261"/>
                <a:gd name="T67" fmla="*/ 678 h 187"/>
                <a:gd name="T68" fmla="*/ 769 w 261"/>
                <a:gd name="T69" fmla="*/ 929 h 187"/>
                <a:gd name="T70" fmla="*/ 624 w 261"/>
                <a:gd name="T71" fmla="*/ 1074 h 187"/>
                <a:gd name="T72" fmla="*/ 437 w 261"/>
                <a:gd name="T73" fmla="*/ 1165 h 187"/>
                <a:gd name="T74" fmla="*/ 432 w 261"/>
                <a:gd name="T75" fmla="*/ 1282 h 187"/>
                <a:gd name="T76" fmla="*/ 465 w 261"/>
                <a:gd name="T77" fmla="*/ 1374 h 187"/>
                <a:gd name="T78" fmla="*/ 424 w 261"/>
                <a:gd name="T79" fmla="*/ 1456 h 187"/>
                <a:gd name="T80" fmla="*/ 168 w 261"/>
                <a:gd name="T81" fmla="*/ 1419 h 187"/>
                <a:gd name="T82" fmla="*/ 0 w 261"/>
                <a:gd name="T83" fmla="*/ 1350 h 187"/>
                <a:gd name="T84" fmla="*/ 109 w 261"/>
                <a:gd name="T85" fmla="*/ 1204 h 187"/>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61" h="187">
                  <a:moveTo>
                    <a:pt x="12" y="152"/>
                  </a:moveTo>
                  <a:lnTo>
                    <a:pt x="14" y="147"/>
                  </a:lnTo>
                  <a:lnTo>
                    <a:pt x="14" y="139"/>
                  </a:lnTo>
                  <a:lnTo>
                    <a:pt x="14" y="134"/>
                  </a:lnTo>
                  <a:lnTo>
                    <a:pt x="14" y="129"/>
                  </a:lnTo>
                  <a:lnTo>
                    <a:pt x="15" y="124"/>
                  </a:lnTo>
                  <a:lnTo>
                    <a:pt x="13" y="117"/>
                  </a:lnTo>
                  <a:lnTo>
                    <a:pt x="12" y="111"/>
                  </a:lnTo>
                  <a:lnTo>
                    <a:pt x="13" y="108"/>
                  </a:lnTo>
                  <a:lnTo>
                    <a:pt x="14" y="108"/>
                  </a:lnTo>
                  <a:lnTo>
                    <a:pt x="19" y="111"/>
                  </a:lnTo>
                  <a:lnTo>
                    <a:pt x="23" y="113"/>
                  </a:lnTo>
                  <a:lnTo>
                    <a:pt x="26" y="108"/>
                  </a:lnTo>
                  <a:lnTo>
                    <a:pt x="27" y="104"/>
                  </a:lnTo>
                  <a:lnTo>
                    <a:pt x="32" y="101"/>
                  </a:lnTo>
                  <a:lnTo>
                    <a:pt x="35" y="97"/>
                  </a:lnTo>
                  <a:lnTo>
                    <a:pt x="37" y="94"/>
                  </a:lnTo>
                  <a:lnTo>
                    <a:pt x="47" y="87"/>
                  </a:lnTo>
                  <a:lnTo>
                    <a:pt x="50" y="84"/>
                  </a:lnTo>
                  <a:lnTo>
                    <a:pt x="52" y="82"/>
                  </a:lnTo>
                  <a:lnTo>
                    <a:pt x="49" y="75"/>
                  </a:lnTo>
                  <a:lnTo>
                    <a:pt x="45" y="69"/>
                  </a:lnTo>
                  <a:lnTo>
                    <a:pt x="44" y="65"/>
                  </a:lnTo>
                  <a:lnTo>
                    <a:pt x="45" y="61"/>
                  </a:lnTo>
                  <a:lnTo>
                    <a:pt x="49" y="59"/>
                  </a:lnTo>
                  <a:lnTo>
                    <a:pt x="53" y="60"/>
                  </a:lnTo>
                  <a:lnTo>
                    <a:pt x="59" y="60"/>
                  </a:lnTo>
                  <a:lnTo>
                    <a:pt x="62" y="61"/>
                  </a:lnTo>
                  <a:lnTo>
                    <a:pt x="68" y="59"/>
                  </a:lnTo>
                  <a:lnTo>
                    <a:pt x="72" y="56"/>
                  </a:lnTo>
                  <a:lnTo>
                    <a:pt x="74" y="53"/>
                  </a:lnTo>
                  <a:lnTo>
                    <a:pt x="76" y="48"/>
                  </a:lnTo>
                  <a:lnTo>
                    <a:pt x="80" y="42"/>
                  </a:lnTo>
                  <a:lnTo>
                    <a:pt x="80" y="39"/>
                  </a:lnTo>
                  <a:lnTo>
                    <a:pt x="82" y="34"/>
                  </a:lnTo>
                  <a:lnTo>
                    <a:pt x="83" y="31"/>
                  </a:lnTo>
                  <a:lnTo>
                    <a:pt x="88" y="27"/>
                  </a:lnTo>
                  <a:lnTo>
                    <a:pt x="91" y="24"/>
                  </a:lnTo>
                  <a:lnTo>
                    <a:pt x="95" y="19"/>
                  </a:lnTo>
                  <a:lnTo>
                    <a:pt x="99" y="13"/>
                  </a:lnTo>
                  <a:lnTo>
                    <a:pt x="104" y="10"/>
                  </a:lnTo>
                  <a:lnTo>
                    <a:pt x="109" y="8"/>
                  </a:lnTo>
                  <a:lnTo>
                    <a:pt x="115" y="10"/>
                  </a:lnTo>
                  <a:lnTo>
                    <a:pt x="119" y="10"/>
                  </a:lnTo>
                  <a:lnTo>
                    <a:pt x="125" y="10"/>
                  </a:lnTo>
                  <a:lnTo>
                    <a:pt x="134" y="7"/>
                  </a:lnTo>
                  <a:lnTo>
                    <a:pt x="138" y="8"/>
                  </a:lnTo>
                  <a:lnTo>
                    <a:pt x="145" y="9"/>
                  </a:lnTo>
                  <a:lnTo>
                    <a:pt x="149" y="9"/>
                  </a:lnTo>
                  <a:lnTo>
                    <a:pt x="155" y="8"/>
                  </a:lnTo>
                  <a:lnTo>
                    <a:pt x="159" y="7"/>
                  </a:lnTo>
                  <a:lnTo>
                    <a:pt x="163" y="7"/>
                  </a:lnTo>
                  <a:lnTo>
                    <a:pt x="169" y="2"/>
                  </a:lnTo>
                  <a:lnTo>
                    <a:pt x="174" y="1"/>
                  </a:lnTo>
                  <a:lnTo>
                    <a:pt x="177" y="0"/>
                  </a:lnTo>
                  <a:lnTo>
                    <a:pt x="178" y="0"/>
                  </a:lnTo>
                  <a:lnTo>
                    <a:pt x="181" y="0"/>
                  </a:lnTo>
                  <a:lnTo>
                    <a:pt x="183" y="0"/>
                  </a:lnTo>
                  <a:lnTo>
                    <a:pt x="185" y="6"/>
                  </a:lnTo>
                  <a:lnTo>
                    <a:pt x="194" y="11"/>
                  </a:lnTo>
                  <a:lnTo>
                    <a:pt x="196" y="12"/>
                  </a:lnTo>
                  <a:lnTo>
                    <a:pt x="202" y="10"/>
                  </a:lnTo>
                  <a:lnTo>
                    <a:pt x="204" y="10"/>
                  </a:lnTo>
                  <a:lnTo>
                    <a:pt x="207" y="13"/>
                  </a:lnTo>
                  <a:lnTo>
                    <a:pt x="209" y="16"/>
                  </a:lnTo>
                  <a:lnTo>
                    <a:pt x="211" y="17"/>
                  </a:lnTo>
                  <a:lnTo>
                    <a:pt x="218" y="16"/>
                  </a:lnTo>
                  <a:lnTo>
                    <a:pt x="222" y="13"/>
                  </a:lnTo>
                  <a:lnTo>
                    <a:pt x="225" y="13"/>
                  </a:lnTo>
                  <a:lnTo>
                    <a:pt x="228" y="16"/>
                  </a:lnTo>
                  <a:lnTo>
                    <a:pt x="233" y="20"/>
                  </a:lnTo>
                  <a:lnTo>
                    <a:pt x="233" y="24"/>
                  </a:lnTo>
                  <a:lnTo>
                    <a:pt x="231" y="29"/>
                  </a:lnTo>
                  <a:lnTo>
                    <a:pt x="230" y="32"/>
                  </a:lnTo>
                  <a:lnTo>
                    <a:pt x="231" y="37"/>
                  </a:lnTo>
                  <a:lnTo>
                    <a:pt x="234" y="40"/>
                  </a:lnTo>
                  <a:lnTo>
                    <a:pt x="236" y="40"/>
                  </a:lnTo>
                  <a:lnTo>
                    <a:pt x="241" y="41"/>
                  </a:lnTo>
                  <a:lnTo>
                    <a:pt x="242" y="43"/>
                  </a:lnTo>
                  <a:lnTo>
                    <a:pt x="244" y="46"/>
                  </a:lnTo>
                  <a:lnTo>
                    <a:pt x="244" y="48"/>
                  </a:lnTo>
                  <a:lnTo>
                    <a:pt x="242" y="52"/>
                  </a:lnTo>
                  <a:lnTo>
                    <a:pt x="242" y="54"/>
                  </a:lnTo>
                  <a:lnTo>
                    <a:pt x="244" y="56"/>
                  </a:lnTo>
                  <a:lnTo>
                    <a:pt x="248" y="59"/>
                  </a:lnTo>
                  <a:lnTo>
                    <a:pt x="251" y="60"/>
                  </a:lnTo>
                  <a:lnTo>
                    <a:pt x="254" y="60"/>
                  </a:lnTo>
                  <a:lnTo>
                    <a:pt x="257" y="63"/>
                  </a:lnTo>
                  <a:lnTo>
                    <a:pt x="261" y="65"/>
                  </a:lnTo>
                  <a:lnTo>
                    <a:pt x="261" y="66"/>
                  </a:lnTo>
                  <a:lnTo>
                    <a:pt x="249" y="81"/>
                  </a:lnTo>
                  <a:lnTo>
                    <a:pt x="245" y="90"/>
                  </a:lnTo>
                  <a:lnTo>
                    <a:pt x="240" y="106"/>
                  </a:lnTo>
                  <a:lnTo>
                    <a:pt x="237" y="114"/>
                  </a:lnTo>
                  <a:lnTo>
                    <a:pt x="215" y="87"/>
                  </a:lnTo>
                  <a:lnTo>
                    <a:pt x="194" y="68"/>
                  </a:lnTo>
                  <a:lnTo>
                    <a:pt x="173" y="61"/>
                  </a:lnTo>
                  <a:lnTo>
                    <a:pt x="159" y="61"/>
                  </a:lnTo>
                  <a:lnTo>
                    <a:pt x="146" y="66"/>
                  </a:lnTo>
                  <a:lnTo>
                    <a:pt x="121" y="77"/>
                  </a:lnTo>
                  <a:lnTo>
                    <a:pt x="118" y="79"/>
                  </a:lnTo>
                  <a:lnTo>
                    <a:pt x="106" y="85"/>
                  </a:lnTo>
                  <a:lnTo>
                    <a:pt x="103" y="90"/>
                  </a:lnTo>
                  <a:lnTo>
                    <a:pt x="97" y="106"/>
                  </a:lnTo>
                  <a:lnTo>
                    <a:pt x="91" y="117"/>
                  </a:lnTo>
                  <a:lnTo>
                    <a:pt x="84" y="123"/>
                  </a:lnTo>
                  <a:lnTo>
                    <a:pt x="80" y="129"/>
                  </a:lnTo>
                  <a:lnTo>
                    <a:pt x="74" y="136"/>
                  </a:lnTo>
                  <a:lnTo>
                    <a:pt x="71" y="141"/>
                  </a:lnTo>
                  <a:lnTo>
                    <a:pt x="52" y="145"/>
                  </a:lnTo>
                  <a:lnTo>
                    <a:pt x="52" y="147"/>
                  </a:lnTo>
                  <a:lnTo>
                    <a:pt x="56" y="157"/>
                  </a:lnTo>
                  <a:lnTo>
                    <a:pt x="55" y="161"/>
                  </a:lnTo>
                  <a:lnTo>
                    <a:pt x="51" y="162"/>
                  </a:lnTo>
                  <a:lnTo>
                    <a:pt x="50" y="166"/>
                  </a:lnTo>
                  <a:lnTo>
                    <a:pt x="53" y="170"/>
                  </a:lnTo>
                  <a:lnTo>
                    <a:pt x="56" y="174"/>
                  </a:lnTo>
                  <a:lnTo>
                    <a:pt x="59" y="183"/>
                  </a:lnTo>
                  <a:lnTo>
                    <a:pt x="57" y="187"/>
                  </a:lnTo>
                  <a:lnTo>
                    <a:pt x="50" y="184"/>
                  </a:lnTo>
                  <a:lnTo>
                    <a:pt x="41" y="178"/>
                  </a:lnTo>
                  <a:lnTo>
                    <a:pt x="35" y="177"/>
                  </a:lnTo>
                  <a:lnTo>
                    <a:pt x="20" y="179"/>
                  </a:lnTo>
                  <a:lnTo>
                    <a:pt x="13" y="175"/>
                  </a:lnTo>
                  <a:lnTo>
                    <a:pt x="2" y="174"/>
                  </a:lnTo>
                  <a:lnTo>
                    <a:pt x="0" y="171"/>
                  </a:lnTo>
                  <a:lnTo>
                    <a:pt x="1" y="166"/>
                  </a:lnTo>
                  <a:lnTo>
                    <a:pt x="9" y="155"/>
                  </a:lnTo>
                  <a:lnTo>
                    <a:pt x="12" y="152"/>
                  </a:lnTo>
                  <a:close/>
                </a:path>
              </a:pathLst>
            </a:custGeom>
            <a:solidFill>
              <a:schemeClr val="accent5">
                <a:lumMod val="40000"/>
                <a:lumOff val="6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64" name="Freeform 48">
              <a:extLst>
                <a:ext uri="{FF2B5EF4-FFF2-40B4-BE49-F238E27FC236}">
                  <a16:creationId xmlns:a16="http://schemas.microsoft.com/office/drawing/2014/main" id="{00000000-0008-0000-0900-00003C7E1200}"/>
                </a:ext>
              </a:extLst>
            </xdr:cNvPr>
            <xdr:cNvSpPr>
              <a:spLocks noChangeAspect="1"/>
            </xdr:cNvSpPr>
          </xdr:nvSpPr>
          <xdr:spPr bwMode="auto">
            <a:xfrm rot="238154">
              <a:off x="342" y="3208"/>
              <a:ext cx="209" cy="212"/>
            </a:xfrm>
            <a:custGeom>
              <a:avLst/>
              <a:gdLst>
                <a:gd name="T0" fmla="*/ 1230 w 168"/>
                <a:gd name="T1" fmla="*/ 1436 h 171"/>
                <a:gd name="T2" fmla="*/ 1229 w 168"/>
                <a:gd name="T3" fmla="*/ 1351 h 171"/>
                <a:gd name="T4" fmla="*/ 1128 w 168"/>
                <a:gd name="T5" fmla="*/ 1301 h 171"/>
                <a:gd name="T6" fmla="*/ 1051 w 168"/>
                <a:gd name="T7" fmla="*/ 1329 h 171"/>
                <a:gd name="T8" fmla="*/ 972 w 168"/>
                <a:gd name="T9" fmla="*/ 1382 h 171"/>
                <a:gd name="T10" fmla="*/ 876 w 168"/>
                <a:gd name="T11" fmla="*/ 1392 h 171"/>
                <a:gd name="T12" fmla="*/ 806 w 168"/>
                <a:gd name="T13" fmla="*/ 1382 h 171"/>
                <a:gd name="T14" fmla="*/ 773 w 168"/>
                <a:gd name="T15" fmla="*/ 1262 h 171"/>
                <a:gd name="T16" fmla="*/ 697 w 168"/>
                <a:gd name="T17" fmla="*/ 1288 h 171"/>
                <a:gd name="T18" fmla="*/ 608 w 168"/>
                <a:gd name="T19" fmla="*/ 1255 h 171"/>
                <a:gd name="T20" fmla="*/ 546 w 168"/>
                <a:gd name="T21" fmla="*/ 1184 h 171"/>
                <a:gd name="T22" fmla="*/ 471 w 168"/>
                <a:gd name="T23" fmla="*/ 1072 h 171"/>
                <a:gd name="T24" fmla="*/ 471 w 168"/>
                <a:gd name="T25" fmla="*/ 974 h 171"/>
                <a:gd name="T26" fmla="*/ 439 w 168"/>
                <a:gd name="T27" fmla="*/ 821 h 171"/>
                <a:gd name="T28" fmla="*/ 362 w 168"/>
                <a:gd name="T29" fmla="*/ 682 h 171"/>
                <a:gd name="T30" fmla="*/ 228 w 168"/>
                <a:gd name="T31" fmla="*/ 658 h 171"/>
                <a:gd name="T32" fmla="*/ 210 w 168"/>
                <a:gd name="T33" fmla="*/ 787 h 171"/>
                <a:gd name="T34" fmla="*/ 169 w 168"/>
                <a:gd name="T35" fmla="*/ 867 h 171"/>
                <a:gd name="T36" fmla="*/ 32 w 168"/>
                <a:gd name="T37" fmla="*/ 816 h 171"/>
                <a:gd name="T38" fmla="*/ 26 w 168"/>
                <a:gd name="T39" fmla="*/ 745 h 171"/>
                <a:gd name="T40" fmla="*/ 26 w 168"/>
                <a:gd name="T41" fmla="*/ 635 h 171"/>
                <a:gd name="T42" fmla="*/ 32 w 168"/>
                <a:gd name="T43" fmla="*/ 545 h 171"/>
                <a:gd name="T44" fmla="*/ 71 w 168"/>
                <a:gd name="T45" fmla="*/ 485 h 171"/>
                <a:gd name="T46" fmla="*/ 96 w 168"/>
                <a:gd name="T47" fmla="*/ 333 h 171"/>
                <a:gd name="T48" fmla="*/ 184 w 168"/>
                <a:gd name="T49" fmla="*/ 207 h 171"/>
                <a:gd name="T50" fmla="*/ 316 w 168"/>
                <a:gd name="T51" fmla="*/ 149 h 171"/>
                <a:gd name="T52" fmla="*/ 413 w 168"/>
                <a:gd name="T53" fmla="*/ 205 h 171"/>
                <a:gd name="T54" fmla="*/ 468 w 168"/>
                <a:gd name="T55" fmla="*/ 136 h 171"/>
                <a:gd name="T56" fmla="*/ 474 w 168"/>
                <a:gd name="T57" fmla="*/ 50 h 171"/>
                <a:gd name="T58" fmla="*/ 724 w 168"/>
                <a:gd name="T59" fmla="*/ 135 h 171"/>
                <a:gd name="T60" fmla="*/ 867 w 168"/>
                <a:gd name="T61" fmla="*/ 40 h 171"/>
                <a:gd name="T62" fmla="*/ 1015 w 168"/>
                <a:gd name="T63" fmla="*/ 0 h 171"/>
                <a:gd name="T64" fmla="*/ 1174 w 168"/>
                <a:gd name="T65" fmla="*/ 118 h 171"/>
                <a:gd name="T66" fmla="*/ 1174 w 168"/>
                <a:gd name="T67" fmla="*/ 345 h 171"/>
                <a:gd name="T68" fmla="*/ 1111 w 168"/>
                <a:gd name="T69" fmla="*/ 440 h 171"/>
                <a:gd name="T70" fmla="*/ 972 w 168"/>
                <a:gd name="T71" fmla="*/ 511 h 171"/>
                <a:gd name="T72" fmla="*/ 1003 w 168"/>
                <a:gd name="T73" fmla="*/ 607 h 171"/>
                <a:gd name="T74" fmla="*/ 1171 w 168"/>
                <a:gd name="T75" fmla="*/ 671 h 171"/>
                <a:gd name="T76" fmla="*/ 1382 w 168"/>
                <a:gd name="T77" fmla="*/ 642 h 171"/>
                <a:gd name="T78" fmla="*/ 1248 w 168"/>
                <a:gd name="T79" fmla="*/ 821 h 171"/>
                <a:gd name="T80" fmla="*/ 1413 w 168"/>
                <a:gd name="T81" fmla="*/ 956 h 171"/>
                <a:gd name="T82" fmla="*/ 1457 w 168"/>
                <a:gd name="T83" fmla="*/ 1103 h 171"/>
                <a:gd name="T84" fmla="*/ 1457 w 168"/>
                <a:gd name="T85" fmla="*/ 1333 h 171"/>
                <a:gd name="T86" fmla="*/ 1279 w 168"/>
                <a:gd name="T87" fmla="*/ 1449 h 171"/>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0" t="0" r="r" b="b"/>
              <a:pathLst>
                <a:path w="168" h="171">
                  <a:moveTo>
                    <a:pt x="141" y="171"/>
                  </a:moveTo>
                  <a:lnTo>
                    <a:pt x="141" y="170"/>
                  </a:lnTo>
                  <a:lnTo>
                    <a:pt x="139" y="167"/>
                  </a:lnTo>
                  <a:lnTo>
                    <a:pt x="139" y="164"/>
                  </a:lnTo>
                  <a:lnTo>
                    <a:pt x="138" y="159"/>
                  </a:lnTo>
                  <a:lnTo>
                    <a:pt x="138" y="157"/>
                  </a:lnTo>
                  <a:lnTo>
                    <a:pt x="136" y="155"/>
                  </a:lnTo>
                  <a:lnTo>
                    <a:pt x="131" y="153"/>
                  </a:lnTo>
                  <a:lnTo>
                    <a:pt x="127" y="152"/>
                  </a:lnTo>
                  <a:lnTo>
                    <a:pt x="121" y="150"/>
                  </a:lnTo>
                  <a:lnTo>
                    <a:pt x="120" y="152"/>
                  </a:lnTo>
                  <a:lnTo>
                    <a:pt x="118" y="155"/>
                  </a:lnTo>
                  <a:lnTo>
                    <a:pt x="117" y="157"/>
                  </a:lnTo>
                  <a:lnTo>
                    <a:pt x="112" y="159"/>
                  </a:lnTo>
                  <a:lnTo>
                    <a:pt x="110" y="161"/>
                  </a:lnTo>
                  <a:lnTo>
                    <a:pt x="101" y="159"/>
                  </a:lnTo>
                  <a:lnTo>
                    <a:pt x="101" y="161"/>
                  </a:lnTo>
                  <a:lnTo>
                    <a:pt x="99" y="163"/>
                  </a:lnTo>
                  <a:lnTo>
                    <a:pt x="96" y="163"/>
                  </a:lnTo>
                  <a:lnTo>
                    <a:pt x="93" y="163"/>
                  </a:lnTo>
                  <a:lnTo>
                    <a:pt x="91" y="161"/>
                  </a:lnTo>
                  <a:lnTo>
                    <a:pt x="89" y="159"/>
                  </a:lnTo>
                  <a:lnTo>
                    <a:pt x="87" y="151"/>
                  </a:lnTo>
                  <a:lnTo>
                    <a:pt x="87" y="148"/>
                  </a:lnTo>
                  <a:lnTo>
                    <a:pt x="84" y="148"/>
                  </a:lnTo>
                  <a:lnTo>
                    <a:pt x="80" y="148"/>
                  </a:lnTo>
                  <a:lnTo>
                    <a:pt x="78" y="150"/>
                  </a:lnTo>
                  <a:lnTo>
                    <a:pt x="74" y="150"/>
                  </a:lnTo>
                  <a:lnTo>
                    <a:pt x="72" y="150"/>
                  </a:lnTo>
                  <a:lnTo>
                    <a:pt x="68" y="146"/>
                  </a:lnTo>
                  <a:lnTo>
                    <a:pt x="65" y="144"/>
                  </a:lnTo>
                  <a:lnTo>
                    <a:pt x="61" y="142"/>
                  </a:lnTo>
                  <a:lnTo>
                    <a:pt x="61" y="138"/>
                  </a:lnTo>
                  <a:lnTo>
                    <a:pt x="58" y="134"/>
                  </a:lnTo>
                  <a:lnTo>
                    <a:pt x="55" y="130"/>
                  </a:lnTo>
                  <a:lnTo>
                    <a:pt x="53" y="125"/>
                  </a:lnTo>
                  <a:lnTo>
                    <a:pt x="53" y="120"/>
                  </a:lnTo>
                  <a:lnTo>
                    <a:pt x="54" y="116"/>
                  </a:lnTo>
                  <a:lnTo>
                    <a:pt x="53" y="113"/>
                  </a:lnTo>
                  <a:lnTo>
                    <a:pt x="51" y="107"/>
                  </a:lnTo>
                  <a:lnTo>
                    <a:pt x="50" y="102"/>
                  </a:lnTo>
                  <a:lnTo>
                    <a:pt x="49" y="96"/>
                  </a:lnTo>
                  <a:lnTo>
                    <a:pt x="46" y="89"/>
                  </a:lnTo>
                  <a:lnTo>
                    <a:pt x="44" y="83"/>
                  </a:lnTo>
                  <a:lnTo>
                    <a:pt x="41" y="80"/>
                  </a:lnTo>
                  <a:lnTo>
                    <a:pt x="35" y="76"/>
                  </a:lnTo>
                  <a:lnTo>
                    <a:pt x="30" y="75"/>
                  </a:lnTo>
                  <a:lnTo>
                    <a:pt x="25" y="77"/>
                  </a:lnTo>
                  <a:lnTo>
                    <a:pt x="22" y="82"/>
                  </a:lnTo>
                  <a:lnTo>
                    <a:pt x="22" y="87"/>
                  </a:lnTo>
                  <a:lnTo>
                    <a:pt x="24" y="92"/>
                  </a:lnTo>
                  <a:lnTo>
                    <a:pt x="23" y="97"/>
                  </a:lnTo>
                  <a:lnTo>
                    <a:pt x="22" y="102"/>
                  </a:lnTo>
                  <a:lnTo>
                    <a:pt x="19" y="102"/>
                  </a:lnTo>
                  <a:lnTo>
                    <a:pt x="15" y="102"/>
                  </a:lnTo>
                  <a:lnTo>
                    <a:pt x="9" y="98"/>
                  </a:lnTo>
                  <a:lnTo>
                    <a:pt x="4" y="95"/>
                  </a:lnTo>
                  <a:lnTo>
                    <a:pt x="1" y="91"/>
                  </a:lnTo>
                  <a:lnTo>
                    <a:pt x="0" y="91"/>
                  </a:lnTo>
                  <a:lnTo>
                    <a:pt x="3" y="86"/>
                  </a:lnTo>
                  <a:lnTo>
                    <a:pt x="4" y="82"/>
                  </a:lnTo>
                  <a:lnTo>
                    <a:pt x="4" y="78"/>
                  </a:lnTo>
                  <a:lnTo>
                    <a:pt x="3" y="74"/>
                  </a:lnTo>
                  <a:lnTo>
                    <a:pt x="3" y="71"/>
                  </a:lnTo>
                  <a:lnTo>
                    <a:pt x="4" y="68"/>
                  </a:lnTo>
                  <a:lnTo>
                    <a:pt x="4" y="64"/>
                  </a:lnTo>
                  <a:lnTo>
                    <a:pt x="4" y="60"/>
                  </a:lnTo>
                  <a:lnTo>
                    <a:pt x="6" y="59"/>
                  </a:lnTo>
                  <a:lnTo>
                    <a:pt x="8" y="56"/>
                  </a:lnTo>
                  <a:lnTo>
                    <a:pt x="8" y="52"/>
                  </a:lnTo>
                  <a:lnTo>
                    <a:pt x="8" y="46"/>
                  </a:lnTo>
                  <a:lnTo>
                    <a:pt x="11" y="39"/>
                  </a:lnTo>
                  <a:lnTo>
                    <a:pt x="13" y="33"/>
                  </a:lnTo>
                  <a:lnTo>
                    <a:pt x="16" y="28"/>
                  </a:lnTo>
                  <a:lnTo>
                    <a:pt x="21" y="24"/>
                  </a:lnTo>
                  <a:lnTo>
                    <a:pt x="25" y="21"/>
                  </a:lnTo>
                  <a:lnTo>
                    <a:pt x="30" y="20"/>
                  </a:lnTo>
                  <a:lnTo>
                    <a:pt x="35" y="18"/>
                  </a:lnTo>
                  <a:lnTo>
                    <a:pt x="40" y="20"/>
                  </a:lnTo>
                  <a:lnTo>
                    <a:pt x="44" y="23"/>
                  </a:lnTo>
                  <a:lnTo>
                    <a:pt x="47" y="23"/>
                  </a:lnTo>
                  <a:lnTo>
                    <a:pt x="50" y="23"/>
                  </a:lnTo>
                  <a:lnTo>
                    <a:pt x="51" y="20"/>
                  </a:lnTo>
                  <a:lnTo>
                    <a:pt x="52" y="16"/>
                  </a:lnTo>
                  <a:lnTo>
                    <a:pt x="52" y="12"/>
                  </a:lnTo>
                  <a:lnTo>
                    <a:pt x="53" y="9"/>
                  </a:lnTo>
                  <a:lnTo>
                    <a:pt x="54" y="6"/>
                  </a:lnTo>
                  <a:lnTo>
                    <a:pt x="56" y="4"/>
                  </a:lnTo>
                  <a:lnTo>
                    <a:pt x="63" y="8"/>
                  </a:lnTo>
                  <a:lnTo>
                    <a:pt x="81" y="15"/>
                  </a:lnTo>
                  <a:lnTo>
                    <a:pt x="88" y="14"/>
                  </a:lnTo>
                  <a:lnTo>
                    <a:pt x="93" y="10"/>
                  </a:lnTo>
                  <a:lnTo>
                    <a:pt x="97" y="5"/>
                  </a:lnTo>
                  <a:lnTo>
                    <a:pt x="102" y="2"/>
                  </a:lnTo>
                  <a:lnTo>
                    <a:pt x="107" y="0"/>
                  </a:lnTo>
                  <a:lnTo>
                    <a:pt x="114" y="0"/>
                  </a:lnTo>
                  <a:lnTo>
                    <a:pt x="119" y="1"/>
                  </a:lnTo>
                  <a:lnTo>
                    <a:pt x="124" y="6"/>
                  </a:lnTo>
                  <a:lnTo>
                    <a:pt x="133" y="14"/>
                  </a:lnTo>
                  <a:lnTo>
                    <a:pt x="137" y="22"/>
                  </a:lnTo>
                  <a:lnTo>
                    <a:pt x="135" y="31"/>
                  </a:lnTo>
                  <a:lnTo>
                    <a:pt x="133" y="40"/>
                  </a:lnTo>
                  <a:lnTo>
                    <a:pt x="132" y="47"/>
                  </a:lnTo>
                  <a:lnTo>
                    <a:pt x="130" y="51"/>
                  </a:lnTo>
                  <a:lnTo>
                    <a:pt x="125" y="52"/>
                  </a:lnTo>
                  <a:lnTo>
                    <a:pt x="120" y="51"/>
                  </a:lnTo>
                  <a:lnTo>
                    <a:pt x="115" y="54"/>
                  </a:lnTo>
                  <a:lnTo>
                    <a:pt x="110" y="59"/>
                  </a:lnTo>
                  <a:lnTo>
                    <a:pt x="108" y="66"/>
                  </a:lnTo>
                  <a:lnTo>
                    <a:pt x="110" y="69"/>
                  </a:lnTo>
                  <a:lnTo>
                    <a:pt x="113" y="71"/>
                  </a:lnTo>
                  <a:lnTo>
                    <a:pt x="118" y="71"/>
                  </a:lnTo>
                  <a:lnTo>
                    <a:pt x="124" y="73"/>
                  </a:lnTo>
                  <a:lnTo>
                    <a:pt x="132" y="78"/>
                  </a:lnTo>
                  <a:lnTo>
                    <a:pt x="137" y="79"/>
                  </a:lnTo>
                  <a:lnTo>
                    <a:pt x="143" y="78"/>
                  </a:lnTo>
                  <a:lnTo>
                    <a:pt x="156" y="75"/>
                  </a:lnTo>
                  <a:lnTo>
                    <a:pt x="153" y="83"/>
                  </a:lnTo>
                  <a:lnTo>
                    <a:pt x="143" y="92"/>
                  </a:lnTo>
                  <a:lnTo>
                    <a:pt x="141" y="96"/>
                  </a:lnTo>
                  <a:lnTo>
                    <a:pt x="153" y="101"/>
                  </a:lnTo>
                  <a:lnTo>
                    <a:pt x="157" y="109"/>
                  </a:lnTo>
                  <a:lnTo>
                    <a:pt x="159" y="112"/>
                  </a:lnTo>
                  <a:lnTo>
                    <a:pt x="160" y="118"/>
                  </a:lnTo>
                  <a:lnTo>
                    <a:pt x="161" y="126"/>
                  </a:lnTo>
                  <a:lnTo>
                    <a:pt x="164" y="129"/>
                  </a:lnTo>
                  <a:lnTo>
                    <a:pt x="168" y="137"/>
                  </a:lnTo>
                  <a:lnTo>
                    <a:pt x="167" y="143"/>
                  </a:lnTo>
                  <a:lnTo>
                    <a:pt x="164" y="156"/>
                  </a:lnTo>
                  <a:lnTo>
                    <a:pt x="161" y="158"/>
                  </a:lnTo>
                  <a:lnTo>
                    <a:pt x="146" y="165"/>
                  </a:lnTo>
                  <a:lnTo>
                    <a:pt x="144" y="169"/>
                  </a:lnTo>
                  <a:lnTo>
                    <a:pt x="141" y="171"/>
                  </a:lnTo>
                  <a:close/>
                </a:path>
              </a:pathLst>
            </a:custGeom>
            <a:solidFill>
              <a:schemeClr val="bg1">
                <a:lumMod val="5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65" name="Freeform 49">
              <a:extLst>
                <a:ext uri="{FF2B5EF4-FFF2-40B4-BE49-F238E27FC236}">
                  <a16:creationId xmlns:a16="http://schemas.microsoft.com/office/drawing/2014/main" id="{00000000-0008-0000-0900-00003D7E1200}"/>
                </a:ext>
              </a:extLst>
            </xdr:cNvPr>
            <xdr:cNvSpPr>
              <a:spLocks noChangeAspect="1"/>
            </xdr:cNvSpPr>
          </xdr:nvSpPr>
          <xdr:spPr bwMode="auto">
            <a:xfrm rot="238154">
              <a:off x="211" y="3150"/>
              <a:ext cx="208" cy="191"/>
            </a:xfrm>
            <a:custGeom>
              <a:avLst/>
              <a:gdLst>
                <a:gd name="T0" fmla="*/ 265 w 167"/>
                <a:gd name="T1" fmla="*/ 1113 h 155"/>
                <a:gd name="T2" fmla="*/ 324 w 167"/>
                <a:gd name="T3" fmla="*/ 1007 h 155"/>
                <a:gd name="T4" fmla="*/ 360 w 167"/>
                <a:gd name="T5" fmla="*/ 934 h 155"/>
                <a:gd name="T6" fmla="*/ 448 w 167"/>
                <a:gd name="T7" fmla="*/ 893 h 155"/>
                <a:gd name="T8" fmla="*/ 512 w 167"/>
                <a:gd name="T9" fmla="*/ 805 h 155"/>
                <a:gd name="T10" fmla="*/ 562 w 167"/>
                <a:gd name="T11" fmla="*/ 764 h 155"/>
                <a:gd name="T12" fmla="*/ 612 w 167"/>
                <a:gd name="T13" fmla="*/ 686 h 155"/>
                <a:gd name="T14" fmla="*/ 549 w 167"/>
                <a:gd name="T15" fmla="*/ 620 h 155"/>
                <a:gd name="T16" fmla="*/ 472 w 167"/>
                <a:gd name="T17" fmla="*/ 662 h 155"/>
                <a:gd name="T18" fmla="*/ 375 w 167"/>
                <a:gd name="T19" fmla="*/ 636 h 155"/>
                <a:gd name="T20" fmla="*/ 244 w 167"/>
                <a:gd name="T21" fmla="*/ 589 h 155"/>
                <a:gd name="T22" fmla="*/ 71 w 167"/>
                <a:gd name="T23" fmla="*/ 557 h 155"/>
                <a:gd name="T24" fmla="*/ 2 w 167"/>
                <a:gd name="T25" fmla="*/ 525 h 155"/>
                <a:gd name="T26" fmla="*/ 40 w 167"/>
                <a:gd name="T27" fmla="*/ 440 h 155"/>
                <a:gd name="T28" fmla="*/ 375 w 167"/>
                <a:gd name="T29" fmla="*/ 301 h 155"/>
                <a:gd name="T30" fmla="*/ 518 w 167"/>
                <a:gd name="T31" fmla="*/ 179 h 155"/>
                <a:gd name="T32" fmla="*/ 562 w 167"/>
                <a:gd name="T33" fmla="*/ 78 h 155"/>
                <a:gd name="T34" fmla="*/ 706 w 167"/>
                <a:gd name="T35" fmla="*/ 48 h 155"/>
                <a:gd name="T36" fmla="*/ 817 w 167"/>
                <a:gd name="T37" fmla="*/ 26 h 155"/>
                <a:gd name="T38" fmla="*/ 903 w 167"/>
                <a:gd name="T39" fmla="*/ 48 h 155"/>
                <a:gd name="T40" fmla="*/ 978 w 167"/>
                <a:gd name="T41" fmla="*/ 26 h 155"/>
                <a:gd name="T42" fmla="*/ 1086 w 167"/>
                <a:gd name="T43" fmla="*/ 26 h 155"/>
                <a:gd name="T44" fmla="*/ 1173 w 167"/>
                <a:gd name="T45" fmla="*/ 48 h 155"/>
                <a:gd name="T46" fmla="*/ 1209 w 167"/>
                <a:gd name="T47" fmla="*/ 32 h 155"/>
                <a:gd name="T48" fmla="*/ 1290 w 167"/>
                <a:gd name="T49" fmla="*/ 63 h 155"/>
                <a:gd name="T50" fmla="*/ 1304 w 167"/>
                <a:gd name="T51" fmla="*/ 346 h 155"/>
                <a:gd name="T52" fmla="*/ 1490 w 167"/>
                <a:gd name="T53" fmla="*/ 478 h 155"/>
                <a:gd name="T54" fmla="*/ 1463 w 167"/>
                <a:gd name="T55" fmla="*/ 557 h 155"/>
                <a:gd name="T56" fmla="*/ 1417 w 167"/>
                <a:gd name="T57" fmla="*/ 615 h 155"/>
                <a:gd name="T58" fmla="*/ 1314 w 167"/>
                <a:gd name="T59" fmla="*/ 573 h 155"/>
                <a:gd name="T60" fmla="*/ 1182 w 167"/>
                <a:gd name="T61" fmla="*/ 620 h 155"/>
                <a:gd name="T62" fmla="*/ 1095 w 167"/>
                <a:gd name="T63" fmla="*/ 738 h 155"/>
                <a:gd name="T64" fmla="*/ 1064 w 167"/>
                <a:gd name="T65" fmla="*/ 876 h 155"/>
                <a:gd name="T66" fmla="*/ 1036 w 167"/>
                <a:gd name="T67" fmla="*/ 941 h 155"/>
                <a:gd name="T68" fmla="*/ 1023 w 167"/>
                <a:gd name="T69" fmla="*/ 1024 h 155"/>
                <a:gd name="T70" fmla="*/ 1023 w 167"/>
                <a:gd name="T71" fmla="*/ 1120 h 155"/>
                <a:gd name="T72" fmla="*/ 889 w 167"/>
                <a:gd name="T73" fmla="*/ 1113 h 155"/>
                <a:gd name="T74" fmla="*/ 684 w 167"/>
                <a:gd name="T75" fmla="*/ 1039 h 155"/>
                <a:gd name="T76" fmla="*/ 620 w 167"/>
                <a:gd name="T77" fmla="*/ 1100 h 155"/>
                <a:gd name="T78" fmla="*/ 549 w 167"/>
                <a:gd name="T79" fmla="*/ 1120 h 155"/>
                <a:gd name="T80" fmla="*/ 467 w 167"/>
                <a:gd name="T81" fmla="*/ 1184 h 155"/>
                <a:gd name="T82" fmla="*/ 448 w 167"/>
                <a:gd name="T83" fmla="*/ 1241 h 155"/>
                <a:gd name="T84" fmla="*/ 375 w 167"/>
                <a:gd name="T85" fmla="*/ 1250 h 155"/>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167" h="155">
                  <a:moveTo>
                    <a:pt x="35" y="155"/>
                  </a:moveTo>
                  <a:lnTo>
                    <a:pt x="32" y="142"/>
                  </a:lnTo>
                  <a:lnTo>
                    <a:pt x="30" y="138"/>
                  </a:lnTo>
                  <a:lnTo>
                    <a:pt x="33" y="134"/>
                  </a:lnTo>
                  <a:lnTo>
                    <a:pt x="35" y="129"/>
                  </a:lnTo>
                  <a:lnTo>
                    <a:pt x="36" y="125"/>
                  </a:lnTo>
                  <a:lnTo>
                    <a:pt x="36" y="120"/>
                  </a:lnTo>
                  <a:lnTo>
                    <a:pt x="37" y="119"/>
                  </a:lnTo>
                  <a:lnTo>
                    <a:pt x="40" y="116"/>
                  </a:lnTo>
                  <a:lnTo>
                    <a:pt x="43" y="113"/>
                  </a:lnTo>
                  <a:lnTo>
                    <a:pt x="47" y="111"/>
                  </a:lnTo>
                  <a:lnTo>
                    <a:pt x="50" y="110"/>
                  </a:lnTo>
                  <a:lnTo>
                    <a:pt x="53" y="107"/>
                  </a:lnTo>
                  <a:lnTo>
                    <a:pt x="56" y="104"/>
                  </a:lnTo>
                  <a:lnTo>
                    <a:pt x="57" y="100"/>
                  </a:lnTo>
                  <a:lnTo>
                    <a:pt x="59" y="98"/>
                  </a:lnTo>
                  <a:lnTo>
                    <a:pt x="61" y="97"/>
                  </a:lnTo>
                  <a:lnTo>
                    <a:pt x="63" y="95"/>
                  </a:lnTo>
                  <a:lnTo>
                    <a:pt x="64" y="93"/>
                  </a:lnTo>
                  <a:lnTo>
                    <a:pt x="66" y="90"/>
                  </a:lnTo>
                  <a:lnTo>
                    <a:pt x="68" y="85"/>
                  </a:lnTo>
                  <a:lnTo>
                    <a:pt x="66" y="82"/>
                  </a:lnTo>
                  <a:lnTo>
                    <a:pt x="63" y="78"/>
                  </a:lnTo>
                  <a:lnTo>
                    <a:pt x="61" y="77"/>
                  </a:lnTo>
                  <a:lnTo>
                    <a:pt x="58" y="78"/>
                  </a:lnTo>
                  <a:lnTo>
                    <a:pt x="55" y="80"/>
                  </a:lnTo>
                  <a:lnTo>
                    <a:pt x="52" y="82"/>
                  </a:lnTo>
                  <a:lnTo>
                    <a:pt x="49" y="81"/>
                  </a:lnTo>
                  <a:lnTo>
                    <a:pt x="44" y="81"/>
                  </a:lnTo>
                  <a:lnTo>
                    <a:pt x="41" y="79"/>
                  </a:lnTo>
                  <a:lnTo>
                    <a:pt x="37" y="77"/>
                  </a:lnTo>
                  <a:lnTo>
                    <a:pt x="33" y="75"/>
                  </a:lnTo>
                  <a:lnTo>
                    <a:pt x="27" y="73"/>
                  </a:lnTo>
                  <a:lnTo>
                    <a:pt x="21" y="71"/>
                  </a:lnTo>
                  <a:lnTo>
                    <a:pt x="14" y="71"/>
                  </a:lnTo>
                  <a:lnTo>
                    <a:pt x="8" y="69"/>
                  </a:lnTo>
                  <a:lnTo>
                    <a:pt x="5" y="68"/>
                  </a:lnTo>
                  <a:lnTo>
                    <a:pt x="3" y="66"/>
                  </a:lnTo>
                  <a:lnTo>
                    <a:pt x="2" y="65"/>
                  </a:lnTo>
                  <a:lnTo>
                    <a:pt x="0" y="63"/>
                  </a:lnTo>
                  <a:lnTo>
                    <a:pt x="4" y="62"/>
                  </a:lnTo>
                  <a:lnTo>
                    <a:pt x="5" y="54"/>
                  </a:lnTo>
                  <a:lnTo>
                    <a:pt x="32" y="39"/>
                  </a:lnTo>
                  <a:lnTo>
                    <a:pt x="34" y="37"/>
                  </a:lnTo>
                  <a:lnTo>
                    <a:pt x="41" y="37"/>
                  </a:lnTo>
                  <a:lnTo>
                    <a:pt x="52" y="32"/>
                  </a:lnTo>
                  <a:lnTo>
                    <a:pt x="56" y="27"/>
                  </a:lnTo>
                  <a:lnTo>
                    <a:pt x="58" y="22"/>
                  </a:lnTo>
                  <a:lnTo>
                    <a:pt x="59" y="18"/>
                  </a:lnTo>
                  <a:lnTo>
                    <a:pt x="60" y="14"/>
                  </a:lnTo>
                  <a:lnTo>
                    <a:pt x="63" y="10"/>
                  </a:lnTo>
                  <a:lnTo>
                    <a:pt x="65" y="7"/>
                  </a:lnTo>
                  <a:lnTo>
                    <a:pt x="69" y="5"/>
                  </a:lnTo>
                  <a:lnTo>
                    <a:pt x="79" y="6"/>
                  </a:lnTo>
                  <a:lnTo>
                    <a:pt x="86" y="6"/>
                  </a:lnTo>
                  <a:lnTo>
                    <a:pt x="89" y="4"/>
                  </a:lnTo>
                  <a:lnTo>
                    <a:pt x="91" y="3"/>
                  </a:lnTo>
                  <a:lnTo>
                    <a:pt x="94" y="4"/>
                  </a:lnTo>
                  <a:lnTo>
                    <a:pt x="97" y="4"/>
                  </a:lnTo>
                  <a:lnTo>
                    <a:pt x="100" y="6"/>
                  </a:lnTo>
                  <a:lnTo>
                    <a:pt x="102" y="6"/>
                  </a:lnTo>
                  <a:lnTo>
                    <a:pt x="104" y="5"/>
                  </a:lnTo>
                  <a:lnTo>
                    <a:pt x="109" y="3"/>
                  </a:lnTo>
                  <a:lnTo>
                    <a:pt x="113" y="1"/>
                  </a:lnTo>
                  <a:lnTo>
                    <a:pt x="116" y="1"/>
                  </a:lnTo>
                  <a:lnTo>
                    <a:pt x="121" y="3"/>
                  </a:lnTo>
                  <a:lnTo>
                    <a:pt x="123" y="4"/>
                  </a:lnTo>
                  <a:lnTo>
                    <a:pt x="127" y="5"/>
                  </a:lnTo>
                  <a:lnTo>
                    <a:pt x="130" y="6"/>
                  </a:lnTo>
                  <a:lnTo>
                    <a:pt x="132" y="5"/>
                  </a:lnTo>
                  <a:lnTo>
                    <a:pt x="134" y="4"/>
                  </a:lnTo>
                  <a:lnTo>
                    <a:pt x="135" y="4"/>
                  </a:lnTo>
                  <a:lnTo>
                    <a:pt x="139" y="0"/>
                  </a:lnTo>
                  <a:lnTo>
                    <a:pt x="142" y="2"/>
                  </a:lnTo>
                  <a:lnTo>
                    <a:pt x="143" y="8"/>
                  </a:lnTo>
                  <a:lnTo>
                    <a:pt x="141" y="22"/>
                  </a:lnTo>
                  <a:lnTo>
                    <a:pt x="141" y="34"/>
                  </a:lnTo>
                  <a:lnTo>
                    <a:pt x="145" y="43"/>
                  </a:lnTo>
                  <a:lnTo>
                    <a:pt x="152" y="50"/>
                  </a:lnTo>
                  <a:lnTo>
                    <a:pt x="167" y="57"/>
                  </a:lnTo>
                  <a:lnTo>
                    <a:pt x="165" y="59"/>
                  </a:lnTo>
                  <a:lnTo>
                    <a:pt x="164" y="62"/>
                  </a:lnTo>
                  <a:lnTo>
                    <a:pt x="163" y="65"/>
                  </a:lnTo>
                  <a:lnTo>
                    <a:pt x="163" y="69"/>
                  </a:lnTo>
                  <a:lnTo>
                    <a:pt x="162" y="73"/>
                  </a:lnTo>
                  <a:lnTo>
                    <a:pt x="161" y="76"/>
                  </a:lnTo>
                  <a:lnTo>
                    <a:pt x="158" y="76"/>
                  </a:lnTo>
                  <a:lnTo>
                    <a:pt x="155" y="76"/>
                  </a:lnTo>
                  <a:lnTo>
                    <a:pt x="151" y="73"/>
                  </a:lnTo>
                  <a:lnTo>
                    <a:pt x="146" y="71"/>
                  </a:lnTo>
                  <a:lnTo>
                    <a:pt x="141" y="73"/>
                  </a:lnTo>
                  <a:lnTo>
                    <a:pt x="136" y="74"/>
                  </a:lnTo>
                  <a:lnTo>
                    <a:pt x="132" y="77"/>
                  </a:lnTo>
                  <a:lnTo>
                    <a:pt x="127" y="81"/>
                  </a:lnTo>
                  <a:lnTo>
                    <a:pt x="124" y="86"/>
                  </a:lnTo>
                  <a:lnTo>
                    <a:pt x="122" y="92"/>
                  </a:lnTo>
                  <a:lnTo>
                    <a:pt x="119" y="99"/>
                  </a:lnTo>
                  <a:lnTo>
                    <a:pt x="119" y="105"/>
                  </a:lnTo>
                  <a:lnTo>
                    <a:pt x="119" y="109"/>
                  </a:lnTo>
                  <a:lnTo>
                    <a:pt x="117" y="112"/>
                  </a:lnTo>
                  <a:lnTo>
                    <a:pt x="115" y="113"/>
                  </a:lnTo>
                  <a:lnTo>
                    <a:pt x="115" y="117"/>
                  </a:lnTo>
                  <a:lnTo>
                    <a:pt x="115" y="121"/>
                  </a:lnTo>
                  <a:lnTo>
                    <a:pt x="114" y="124"/>
                  </a:lnTo>
                  <a:lnTo>
                    <a:pt x="114" y="127"/>
                  </a:lnTo>
                  <a:lnTo>
                    <a:pt x="115" y="131"/>
                  </a:lnTo>
                  <a:lnTo>
                    <a:pt x="115" y="135"/>
                  </a:lnTo>
                  <a:lnTo>
                    <a:pt x="114" y="139"/>
                  </a:lnTo>
                  <a:lnTo>
                    <a:pt x="111" y="144"/>
                  </a:lnTo>
                  <a:lnTo>
                    <a:pt x="106" y="141"/>
                  </a:lnTo>
                  <a:lnTo>
                    <a:pt x="99" y="138"/>
                  </a:lnTo>
                  <a:lnTo>
                    <a:pt x="93" y="134"/>
                  </a:lnTo>
                  <a:lnTo>
                    <a:pt x="82" y="129"/>
                  </a:lnTo>
                  <a:lnTo>
                    <a:pt x="76" y="128"/>
                  </a:lnTo>
                  <a:lnTo>
                    <a:pt x="73" y="129"/>
                  </a:lnTo>
                  <a:lnTo>
                    <a:pt x="72" y="131"/>
                  </a:lnTo>
                  <a:lnTo>
                    <a:pt x="69" y="136"/>
                  </a:lnTo>
                  <a:lnTo>
                    <a:pt x="66" y="136"/>
                  </a:lnTo>
                  <a:lnTo>
                    <a:pt x="62" y="136"/>
                  </a:lnTo>
                  <a:lnTo>
                    <a:pt x="61" y="139"/>
                  </a:lnTo>
                  <a:lnTo>
                    <a:pt x="58" y="141"/>
                  </a:lnTo>
                  <a:lnTo>
                    <a:pt x="55" y="144"/>
                  </a:lnTo>
                  <a:lnTo>
                    <a:pt x="51" y="146"/>
                  </a:lnTo>
                  <a:lnTo>
                    <a:pt x="50" y="147"/>
                  </a:lnTo>
                  <a:lnTo>
                    <a:pt x="50" y="151"/>
                  </a:lnTo>
                  <a:lnTo>
                    <a:pt x="50" y="154"/>
                  </a:lnTo>
                  <a:lnTo>
                    <a:pt x="47" y="155"/>
                  </a:lnTo>
                  <a:lnTo>
                    <a:pt x="44" y="155"/>
                  </a:lnTo>
                  <a:lnTo>
                    <a:pt x="41" y="155"/>
                  </a:lnTo>
                  <a:lnTo>
                    <a:pt x="35" y="155"/>
                  </a:lnTo>
                  <a:close/>
                </a:path>
              </a:pathLst>
            </a:custGeom>
            <a:solidFill>
              <a:schemeClr val="bg1">
                <a:lumMod val="5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66" name="Freeform 50">
              <a:extLst>
                <a:ext uri="{FF2B5EF4-FFF2-40B4-BE49-F238E27FC236}">
                  <a16:creationId xmlns:a16="http://schemas.microsoft.com/office/drawing/2014/main" id="{00000000-0008-0000-0900-00003E7E1200}"/>
                </a:ext>
              </a:extLst>
            </xdr:cNvPr>
            <xdr:cNvSpPr>
              <a:spLocks noChangeAspect="1"/>
            </xdr:cNvSpPr>
          </xdr:nvSpPr>
          <xdr:spPr bwMode="auto">
            <a:xfrm rot="238154">
              <a:off x="152" y="3185"/>
              <a:ext cx="142" cy="140"/>
            </a:xfrm>
            <a:custGeom>
              <a:avLst/>
              <a:gdLst>
                <a:gd name="T0" fmla="*/ 427 w 115"/>
                <a:gd name="T1" fmla="*/ 860 h 114"/>
                <a:gd name="T2" fmla="*/ 316 w 115"/>
                <a:gd name="T3" fmla="*/ 818 h 114"/>
                <a:gd name="T4" fmla="*/ 207 w 115"/>
                <a:gd name="T5" fmla="*/ 721 h 114"/>
                <a:gd name="T6" fmla="*/ 147 w 115"/>
                <a:gd name="T7" fmla="*/ 661 h 114"/>
                <a:gd name="T8" fmla="*/ 175 w 115"/>
                <a:gd name="T9" fmla="*/ 615 h 114"/>
                <a:gd name="T10" fmla="*/ 147 w 115"/>
                <a:gd name="T11" fmla="*/ 580 h 114"/>
                <a:gd name="T12" fmla="*/ 99 w 115"/>
                <a:gd name="T13" fmla="*/ 571 h 114"/>
                <a:gd name="T14" fmla="*/ 32 w 115"/>
                <a:gd name="T15" fmla="*/ 522 h 114"/>
                <a:gd name="T16" fmla="*/ 2 w 115"/>
                <a:gd name="T17" fmla="*/ 351 h 114"/>
                <a:gd name="T18" fmla="*/ 93 w 115"/>
                <a:gd name="T19" fmla="*/ 298 h 114"/>
                <a:gd name="T20" fmla="*/ 75 w 115"/>
                <a:gd name="T21" fmla="*/ 258 h 114"/>
                <a:gd name="T22" fmla="*/ 2 w 115"/>
                <a:gd name="T23" fmla="*/ 163 h 114"/>
                <a:gd name="T24" fmla="*/ 40 w 115"/>
                <a:gd name="T25" fmla="*/ 108 h 114"/>
                <a:gd name="T26" fmla="*/ 168 w 115"/>
                <a:gd name="T27" fmla="*/ 0 h 114"/>
                <a:gd name="T28" fmla="*/ 267 w 115"/>
                <a:gd name="T29" fmla="*/ 108 h 114"/>
                <a:gd name="T30" fmla="*/ 390 w 115"/>
                <a:gd name="T31" fmla="*/ 131 h 114"/>
                <a:gd name="T32" fmla="*/ 415 w 115"/>
                <a:gd name="T33" fmla="*/ 146 h 114"/>
                <a:gd name="T34" fmla="*/ 454 w 115"/>
                <a:gd name="T35" fmla="*/ 171 h 114"/>
                <a:gd name="T36" fmla="*/ 561 w 115"/>
                <a:gd name="T37" fmla="*/ 184 h 114"/>
                <a:gd name="T38" fmla="*/ 661 w 115"/>
                <a:gd name="T39" fmla="*/ 220 h 114"/>
                <a:gd name="T40" fmla="*/ 730 w 115"/>
                <a:gd name="T41" fmla="*/ 246 h 114"/>
                <a:gd name="T42" fmla="*/ 799 w 115"/>
                <a:gd name="T43" fmla="*/ 270 h 114"/>
                <a:gd name="T44" fmla="*/ 843 w 115"/>
                <a:gd name="T45" fmla="*/ 258 h 114"/>
                <a:gd name="T46" fmla="*/ 890 w 115"/>
                <a:gd name="T47" fmla="*/ 233 h 114"/>
                <a:gd name="T48" fmla="*/ 937 w 115"/>
                <a:gd name="T49" fmla="*/ 273 h 114"/>
                <a:gd name="T50" fmla="*/ 937 w 115"/>
                <a:gd name="T51" fmla="*/ 335 h 114"/>
                <a:gd name="T52" fmla="*/ 908 w 115"/>
                <a:gd name="T53" fmla="*/ 371 h 114"/>
                <a:gd name="T54" fmla="*/ 877 w 115"/>
                <a:gd name="T55" fmla="*/ 402 h 114"/>
                <a:gd name="T56" fmla="*/ 850 w 115"/>
                <a:gd name="T57" fmla="*/ 447 h 114"/>
                <a:gd name="T58" fmla="*/ 801 w 115"/>
                <a:gd name="T59" fmla="*/ 494 h 114"/>
                <a:gd name="T60" fmla="*/ 742 w 115"/>
                <a:gd name="T61" fmla="*/ 515 h 114"/>
                <a:gd name="T62" fmla="*/ 693 w 115"/>
                <a:gd name="T63" fmla="*/ 560 h 114"/>
                <a:gd name="T64" fmla="*/ 683 w 115"/>
                <a:gd name="T65" fmla="*/ 610 h 114"/>
                <a:gd name="T66" fmla="*/ 661 w 115"/>
                <a:gd name="T67" fmla="*/ 677 h 114"/>
                <a:gd name="T68" fmla="*/ 632 w 115"/>
                <a:gd name="T69" fmla="*/ 701 h 114"/>
                <a:gd name="T70" fmla="*/ 482 w 115"/>
                <a:gd name="T71" fmla="*/ 607 h 114"/>
                <a:gd name="T72" fmla="*/ 407 w 115"/>
                <a:gd name="T73" fmla="*/ 648 h 114"/>
                <a:gd name="T74" fmla="*/ 394 w 115"/>
                <a:gd name="T75" fmla="*/ 712 h 114"/>
                <a:gd name="T76" fmla="*/ 454 w 115"/>
                <a:gd name="T77" fmla="*/ 776 h 114"/>
                <a:gd name="T78" fmla="*/ 463 w 115"/>
                <a:gd name="T79" fmla="*/ 888 h 114"/>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0" t="0" r="r" b="b"/>
              <a:pathLst>
                <a:path w="115" h="114">
                  <a:moveTo>
                    <a:pt x="56" y="114"/>
                  </a:moveTo>
                  <a:lnTo>
                    <a:pt x="52" y="110"/>
                  </a:lnTo>
                  <a:lnTo>
                    <a:pt x="44" y="107"/>
                  </a:lnTo>
                  <a:lnTo>
                    <a:pt x="38" y="105"/>
                  </a:lnTo>
                  <a:lnTo>
                    <a:pt x="34" y="103"/>
                  </a:lnTo>
                  <a:lnTo>
                    <a:pt x="25" y="92"/>
                  </a:lnTo>
                  <a:lnTo>
                    <a:pt x="21" y="88"/>
                  </a:lnTo>
                  <a:lnTo>
                    <a:pt x="18" y="85"/>
                  </a:lnTo>
                  <a:lnTo>
                    <a:pt x="19" y="83"/>
                  </a:lnTo>
                  <a:lnTo>
                    <a:pt x="21" y="79"/>
                  </a:lnTo>
                  <a:lnTo>
                    <a:pt x="20" y="76"/>
                  </a:lnTo>
                  <a:lnTo>
                    <a:pt x="18" y="74"/>
                  </a:lnTo>
                  <a:lnTo>
                    <a:pt x="16" y="73"/>
                  </a:lnTo>
                  <a:lnTo>
                    <a:pt x="12" y="73"/>
                  </a:lnTo>
                  <a:lnTo>
                    <a:pt x="8" y="71"/>
                  </a:lnTo>
                  <a:lnTo>
                    <a:pt x="4" y="67"/>
                  </a:lnTo>
                  <a:lnTo>
                    <a:pt x="0" y="49"/>
                  </a:lnTo>
                  <a:lnTo>
                    <a:pt x="2" y="45"/>
                  </a:lnTo>
                  <a:lnTo>
                    <a:pt x="9" y="40"/>
                  </a:lnTo>
                  <a:lnTo>
                    <a:pt x="11" y="38"/>
                  </a:lnTo>
                  <a:lnTo>
                    <a:pt x="11" y="35"/>
                  </a:lnTo>
                  <a:lnTo>
                    <a:pt x="9" y="33"/>
                  </a:lnTo>
                  <a:lnTo>
                    <a:pt x="2" y="25"/>
                  </a:lnTo>
                  <a:lnTo>
                    <a:pt x="2" y="21"/>
                  </a:lnTo>
                  <a:lnTo>
                    <a:pt x="2" y="15"/>
                  </a:lnTo>
                  <a:lnTo>
                    <a:pt x="5" y="14"/>
                  </a:lnTo>
                  <a:lnTo>
                    <a:pt x="10" y="9"/>
                  </a:lnTo>
                  <a:lnTo>
                    <a:pt x="20" y="0"/>
                  </a:lnTo>
                  <a:lnTo>
                    <a:pt x="23" y="3"/>
                  </a:lnTo>
                  <a:lnTo>
                    <a:pt x="32" y="14"/>
                  </a:lnTo>
                  <a:lnTo>
                    <a:pt x="38" y="17"/>
                  </a:lnTo>
                  <a:lnTo>
                    <a:pt x="47" y="16"/>
                  </a:lnTo>
                  <a:lnTo>
                    <a:pt x="49" y="18"/>
                  </a:lnTo>
                  <a:lnTo>
                    <a:pt x="50" y="19"/>
                  </a:lnTo>
                  <a:lnTo>
                    <a:pt x="52" y="21"/>
                  </a:lnTo>
                  <a:lnTo>
                    <a:pt x="55" y="22"/>
                  </a:lnTo>
                  <a:lnTo>
                    <a:pt x="61" y="24"/>
                  </a:lnTo>
                  <a:lnTo>
                    <a:pt x="68" y="24"/>
                  </a:lnTo>
                  <a:lnTo>
                    <a:pt x="74" y="26"/>
                  </a:lnTo>
                  <a:lnTo>
                    <a:pt x="80" y="28"/>
                  </a:lnTo>
                  <a:lnTo>
                    <a:pt x="84" y="30"/>
                  </a:lnTo>
                  <a:lnTo>
                    <a:pt x="88" y="32"/>
                  </a:lnTo>
                  <a:lnTo>
                    <a:pt x="91" y="34"/>
                  </a:lnTo>
                  <a:lnTo>
                    <a:pt x="96" y="34"/>
                  </a:lnTo>
                  <a:lnTo>
                    <a:pt x="99" y="35"/>
                  </a:lnTo>
                  <a:lnTo>
                    <a:pt x="102" y="33"/>
                  </a:lnTo>
                  <a:lnTo>
                    <a:pt x="105" y="31"/>
                  </a:lnTo>
                  <a:lnTo>
                    <a:pt x="108" y="30"/>
                  </a:lnTo>
                  <a:lnTo>
                    <a:pt x="110" y="31"/>
                  </a:lnTo>
                  <a:lnTo>
                    <a:pt x="113" y="35"/>
                  </a:lnTo>
                  <a:lnTo>
                    <a:pt x="115" y="38"/>
                  </a:lnTo>
                  <a:lnTo>
                    <a:pt x="113" y="43"/>
                  </a:lnTo>
                  <a:lnTo>
                    <a:pt x="111" y="46"/>
                  </a:lnTo>
                  <a:lnTo>
                    <a:pt x="110" y="48"/>
                  </a:lnTo>
                  <a:lnTo>
                    <a:pt x="108" y="50"/>
                  </a:lnTo>
                  <a:lnTo>
                    <a:pt x="106" y="51"/>
                  </a:lnTo>
                  <a:lnTo>
                    <a:pt x="104" y="53"/>
                  </a:lnTo>
                  <a:lnTo>
                    <a:pt x="103" y="57"/>
                  </a:lnTo>
                  <a:lnTo>
                    <a:pt x="100" y="60"/>
                  </a:lnTo>
                  <a:lnTo>
                    <a:pt x="97" y="63"/>
                  </a:lnTo>
                  <a:lnTo>
                    <a:pt x="94" y="64"/>
                  </a:lnTo>
                  <a:lnTo>
                    <a:pt x="90" y="66"/>
                  </a:lnTo>
                  <a:lnTo>
                    <a:pt x="87" y="69"/>
                  </a:lnTo>
                  <a:lnTo>
                    <a:pt x="84" y="72"/>
                  </a:lnTo>
                  <a:lnTo>
                    <a:pt x="83" y="73"/>
                  </a:lnTo>
                  <a:lnTo>
                    <a:pt x="83" y="78"/>
                  </a:lnTo>
                  <a:lnTo>
                    <a:pt x="82" y="82"/>
                  </a:lnTo>
                  <a:lnTo>
                    <a:pt x="80" y="87"/>
                  </a:lnTo>
                  <a:lnTo>
                    <a:pt x="77" y="91"/>
                  </a:lnTo>
                  <a:lnTo>
                    <a:pt x="77" y="90"/>
                  </a:lnTo>
                  <a:lnTo>
                    <a:pt x="65" y="80"/>
                  </a:lnTo>
                  <a:lnTo>
                    <a:pt x="58" y="77"/>
                  </a:lnTo>
                  <a:lnTo>
                    <a:pt x="52" y="79"/>
                  </a:lnTo>
                  <a:lnTo>
                    <a:pt x="49" y="83"/>
                  </a:lnTo>
                  <a:lnTo>
                    <a:pt x="48" y="87"/>
                  </a:lnTo>
                  <a:lnTo>
                    <a:pt x="48" y="91"/>
                  </a:lnTo>
                  <a:lnTo>
                    <a:pt x="52" y="95"/>
                  </a:lnTo>
                  <a:lnTo>
                    <a:pt x="55" y="99"/>
                  </a:lnTo>
                  <a:lnTo>
                    <a:pt x="56" y="104"/>
                  </a:lnTo>
                  <a:lnTo>
                    <a:pt x="56" y="114"/>
                  </a:lnTo>
                  <a:close/>
                </a:path>
              </a:pathLst>
            </a:custGeom>
            <a:solidFill>
              <a:schemeClr val="bg1">
                <a:lumMod val="50000"/>
              </a:schemeClr>
            </a:solidFill>
            <a:ln>
              <a:noFill/>
            </a:ln>
            <a:extLst>
              <a:ext uri="{91240B29-F687-4F45-9708-019B960494DF}">
                <a14:hiddenLine xmlns:a14="http://schemas.microsoft.com/office/drawing/2010/main" w="12700">
                  <a:solidFill>
                    <a:srgbClr val="000000"/>
                  </a:solidFill>
                  <a:prstDash val="solid"/>
                  <a:round/>
                  <a:headEnd/>
                  <a:tailEnd/>
                </a14:hiddenLine>
              </a:ext>
            </a:extLst>
          </xdr:spPr>
        </xdr:sp>
        <xdr:sp macro="" textlink="">
          <xdr:nvSpPr>
            <xdr:cNvPr id="1211967" name="Freeform 51">
              <a:extLst>
                <a:ext uri="{FF2B5EF4-FFF2-40B4-BE49-F238E27FC236}">
                  <a16:creationId xmlns:a16="http://schemas.microsoft.com/office/drawing/2014/main" id="{00000000-0008-0000-0900-00003F7E1200}"/>
                </a:ext>
              </a:extLst>
            </xdr:cNvPr>
            <xdr:cNvSpPr>
              <a:spLocks noChangeAspect="1"/>
            </xdr:cNvSpPr>
          </xdr:nvSpPr>
          <xdr:spPr bwMode="auto">
            <a:xfrm rot="238154">
              <a:off x="95" y="3199"/>
              <a:ext cx="151" cy="201"/>
            </a:xfrm>
            <a:custGeom>
              <a:avLst/>
              <a:gdLst>
                <a:gd name="T0" fmla="*/ 856 w 121"/>
                <a:gd name="T1" fmla="*/ 771 h 163"/>
                <a:gd name="T2" fmla="*/ 735 w 121"/>
                <a:gd name="T3" fmla="*/ 731 h 163"/>
                <a:gd name="T4" fmla="*/ 614 w 121"/>
                <a:gd name="T5" fmla="*/ 625 h 163"/>
                <a:gd name="T6" fmla="*/ 550 w 121"/>
                <a:gd name="T7" fmla="*/ 572 h 163"/>
                <a:gd name="T8" fmla="*/ 585 w 121"/>
                <a:gd name="T9" fmla="*/ 523 h 163"/>
                <a:gd name="T10" fmla="*/ 550 w 121"/>
                <a:gd name="T11" fmla="*/ 481 h 163"/>
                <a:gd name="T12" fmla="*/ 492 w 121"/>
                <a:gd name="T13" fmla="*/ 477 h 163"/>
                <a:gd name="T14" fmla="*/ 421 w 121"/>
                <a:gd name="T15" fmla="*/ 424 h 163"/>
                <a:gd name="T16" fmla="*/ 404 w 121"/>
                <a:gd name="T17" fmla="*/ 247 h 163"/>
                <a:gd name="T18" fmla="*/ 478 w 121"/>
                <a:gd name="T19" fmla="*/ 185 h 163"/>
                <a:gd name="T20" fmla="*/ 472 w 121"/>
                <a:gd name="T21" fmla="*/ 146 h 163"/>
                <a:gd name="T22" fmla="*/ 404 w 121"/>
                <a:gd name="T23" fmla="*/ 48 h 163"/>
                <a:gd name="T24" fmla="*/ 362 w 121"/>
                <a:gd name="T25" fmla="*/ 1 h 163"/>
                <a:gd name="T26" fmla="*/ 186 w 121"/>
                <a:gd name="T27" fmla="*/ 110 h 163"/>
                <a:gd name="T28" fmla="*/ 89 w 121"/>
                <a:gd name="T29" fmla="*/ 168 h 163"/>
                <a:gd name="T30" fmla="*/ 32 w 121"/>
                <a:gd name="T31" fmla="*/ 316 h 163"/>
                <a:gd name="T32" fmla="*/ 111 w 121"/>
                <a:gd name="T33" fmla="*/ 424 h 163"/>
                <a:gd name="T34" fmla="*/ 187 w 121"/>
                <a:gd name="T35" fmla="*/ 485 h 163"/>
                <a:gd name="T36" fmla="*/ 173 w 121"/>
                <a:gd name="T37" fmla="*/ 559 h 163"/>
                <a:gd name="T38" fmla="*/ 187 w 121"/>
                <a:gd name="T39" fmla="*/ 619 h 163"/>
                <a:gd name="T40" fmla="*/ 303 w 121"/>
                <a:gd name="T41" fmla="*/ 645 h 163"/>
                <a:gd name="T42" fmla="*/ 404 w 121"/>
                <a:gd name="T43" fmla="*/ 645 h 163"/>
                <a:gd name="T44" fmla="*/ 472 w 121"/>
                <a:gd name="T45" fmla="*/ 725 h 163"/>
                <a:gd name="T46" fmla="*/ 452 w 121"/>
                <a:gd name="T47" fmla="*/ 811 h 163"/>
                <a:gd name="T48" fmla="*/ 404 w 121"/>
                <a:gd name="T49" fmla="*/ 872 h 163"/>
                <a:gd name="T50" fmla="*/ 324 w 121"/>
                <a:gd name="T51" fmla="*/ 872 h 163"/>
                <a:gd name="T52" fmla="*/ 337 w 121"/>
                <a:gd name="T53" fmla="*/ 705 h 163"/>
                <a:gd name="T54" fmla="*/ 303 w 121"/>
                <a:gd name="T55" fmla="*/ 667 h 163"/>
                <a:gd name="T56" fmla="*/ 270 w 121"/>
                <a:gd name="T57" fmla="*/ 658 h 163"/>
                <a:gd name="T58" fmla="*/ 233 w 121"/>
                <a:gd name="T59" fmla="*/ 658 h 163"/>
                <a:gd name="T60" fmla="*/ 157 w 121"/>
                <a:gd name="T61" fmla="*/ 619 h 163"/>
                <a:gd name="T62" fmla="*/ 96 w 121"/>
                <a:gd name="T63" fmla="*/ 559 h 163"/>
                <a:gd name="T64" fmla="*/ 26 w 121"/>
                <a:gd name="T65" fmla="*/ 559 h 163"/>
                <a:gd name="T66" fmla="*/ 0 w 121"/>
                <a:gd name="T67" fmla="*/ 619 h 163"/>
                <a:gd name="T68" fmla="*/ 40 w 121"/>
                <a:gd name="T69" fmla="*/ 667 h 163"/>
                <a:gd name="T70" fmla="*/ 50 w 121"/>
                <a:gd name="T71" fmla="*/ 713 h 163"/>
                <a:gd name="T72" fmla="*/ 71 w 121"/>
                <a:gd name="T73" fmla="*/ 842 h 163"/>
                <a:gd name="T74" fmla="*/ 186 w 121"/>
                <a:gd name="T75" fmla="*/ 933 h 163"/>
                <a:gd name="T76" fmla="*/ 187 w 121"/>
                <a:gd name="T77" fmla="*/ 1128 h 163"/>
                <a:gd name="T78" fmla="*/ 157 w 121"/>
                <a:gd name="T79" fmla="*/ 1189 h 163"/>
                <a:gd name="T80" fmla="*/ 150 w 121"/>
                <a:gd name="T81" fmla="*/ 1261 h 163"/>
                <a:gd name="T82" fmla="*/ 212 w 121"/>
                <a:gd name="T83" fmla="*/ 1280 h 163"/>
                <a:gd name="T84" fmla="*/ 404 w 121"/>
                <a:gd name="T85" fmla="*/ 1188 h 163"/>
                <a:gd name="T86" fmla="*/ 492 w 121"/>
                <a:gd name="T87" fmla="*/ 1072 h 163"/>
                <a:gd name="T88" fmla="*/ 745 w 121"/>
                <a:gd name="T89" fmla="*/ 1072 h 163"/>
                <a:gd name="T90" fmla="*/ 766 w 121"/>
                <a:gd name="T91" fmla="*/ 1100 h 163"/>
                <a:gd name="T92" fmla="*/ 730 w 121"/>
                <a:gd name="T93" fmla="*/ 1149 h 163"/>
                <a:gd name="T94" fmla="*/ 683 w 121"/>
                <a:gd name="T95" fmla="*/ 1247 h 163"/>
                <a:gd name="T96" fmla="*/ 735 w 121"/>
                <a:gd name="T97" fmla="*/ 1326 h 163"/>
                <a:gd name="T98" fmla="*/ 930 w 121"/>
                <a:gd name="T99" fmla="*/ 1300 h 163"/>
                <a:gd name="T100" fmla="*/ 1068 w 121"/>
                <a:gd name="T101" fmla="*/ 1173 h 163"/>
                <a:gd name="T102" fmla="*/ 1097 w 121"/>
                <a:gd name="T103" fmla="*/ 966 h 163"/>
                <a:gd name="T104" fmla="*/ 988 w 121"/>
                <a:gd name="T105" fmla="*/ 879 h 163"/>
                <a:gd name="T106" fmla="*/ 887 w 121"/>
                <a:gd name="T107" fmla="*/ 894 h 163"/>
                <a:gd name="T108" fmla="*/ 817 w 121"/>
                <a:gd name="T109" fmla="*/ 909 h 163"/>
                <a:gd name="T110" fmla="*/ 761 w 121"/>
                <a:gd name="T111" fmla="*/ 915 h 163"/>
                <a:gd name="T112" fmla="*/ 730 w 121"/>
                <a:gd name="T113" fmla="*/ 909 h 163"/>
                <a:gd name="T114" fmla="*/ 817 w 121"/>
                <a:gd name="T115" fmla="*/ 879 h 163"/>
                <a:gd name="T116" fmla="*/ 887 w 121"/>
                <a:gd name="T117" fmla="*/ 850 h 163"/>
                <a:gd name="T118" fmla="*/ 894 w 121"/>
                <a:gd name="T119" fmla="*/ 803 h 163"/>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Lst>
              <a:ahLst/>
              <a:cxnLst>
                <a:cxn ang="T120">
                  <a:pos x="T0" y="T1"/>
                </a:cxn>
                <a:cxn ang="T121">
                  <a:pos x="T2" y="T3"/>
                </a:cxn>
                <a:cxn ang="T122">
                  <a:pos x="T4" y="T5"/>
                </a:cxn>
                <a:cxn ang="T123">
                  <a:pos x="T6" y="T7"/>
                </a:cxn>
                <a:cxn ang="T124">
                  <a:pos x="T8" y="T9"/>
                </a:cxn>
                <a:cxn ang="T125">
                  <a:pos x="T10" y="T11"/>
                </a:cxn>
                <a:cxn ang="T126">
                  <a:pos x="T12" y="T13"/>
                </a:cxn>
                <a:cxn ang="T127">
                  <a:pos x="T14" y="T15"/>
                </a:cxn>
                <a:cxn ang="T128">
                  <a:pos x="T16" y="T17"/>
                </a:cxn>
                <a:cxn ang="T129">
                  <a:pos x="T18" y="T19"/>
                </a:cxn>
                <a:cxn ang="T130">
                  <a:pos x="T20" y="T21"/>
                </a:cxn>
                <a:cxn ang="T131">
                  <a:pos x="T22" y="T23"/>
                </a:cxn>
                <a:cxn ang="T132">
                  <a:pos x="T24" y="T25"/>
                </a:cxn>
                <a:cxn ang="T133">
                  <a:pos x="T26" y="T27"/>
                </a:cxn>
                <a:cxn ang="T134">
                  <a:pos x="T28" y="T29"/>
                </a:cxn>
                <a:cxn ang="T135">
                  <a:pos x="T30" y="T31"/>
                </a:cxn>
                <a:cxn ang="T136">
                  <a:pos x="T32" y="T33"/>
                </a:cxn>
                <a:cxn ang="T137">
                  <a:pos x="T34" y="T35"/>
                </a:cxn>
                <a:cxn ang="T138">
                  <a:pos x="T36" y="T37"/>
                </a:cxn>
                <a:cxn ang="T139">
                  <a:pos x="T38" y="T39"/>
                </a:cxn>
                <a:cxn ang="T140">
                  <a:pos x="T40" y="T41"/>
                </a:cxn>
                <a:cxn ang="T141">
                  <a:pos x="T42" y="T43"/>
                </a:cxn>
                <a:cxn ang="T142">
                  <a:pos x="T44" y="T45"/>
                </a:cxn>
                <a:cxn ang="T143">
                  <a:pos x="T46" y="T47"/>
                </a:cxn>
                <a:cxn ang="T144">
                  <a:pos x="T48" y="T49"/>
                </a:cxn>
                <a:cxn ang="T145">
                  <a:pos x="T50" y="T51"/>
                </a:cxn>
                <a:cxn ang="T146">
                  <a:pos x="T52" y="T53"/>
                </a:cxn>
                <a:cxn ang="T147">
                  <a:pos x="T54" y="T55"/>
                </a:cxn>
                <a:cxn ang="T148">
                  <a:pos x="T56" y="T57"/>
                </a:cxn>
                <a:cxn ang="T149">
                  <a:pos x="T58" y="T59"/>
                </a:cxn>
                <a:cxn ang="T150">
                  <a:pos x="T60" y="T61"/>
                </a:cxn>
                <a:cxn ang="T151">
                  <a:pos x="T62" y="T63"/>
                </a:cxn>
                <a:cxn ang="T152">
                  <a:pos x="T64" y="T65"/>
                </a:cxn>
                <a:cxn ang="T153">
                  <a:pos x="T66" y="T67"/>
                </a:cxn>
                <a:cxn ang="T154">
                  <a:pos x="T68" y="T69"/>
                </a:cxn>
                <a:cxn ang="T155">
                  <a:pos x="T70" y="T71"/>
                </a:cxn>
                <a:cxn ang="T156">
                  <a:pos x="T72" y="T73"/>
                </a:cxn>
                <a:cxn ang="T157">
                  <a:pos x="T74" y="T75"/>
                </a:cxn>
                <a:cxn ang="T158">
                  <a:pos x="T76" y="T77"/>
                </a:cxn>
                <a:cxn ang="T159">
                  <a:pos x="T78" y="T79"/>
                </a:cxn>
                <a:cxn ang="T160">
                  <a:pos x="T80" y="T81"/>
                </a:cxn>
                <a:cxn ang="T161">
                  <a:pos x="T82" y="T83"/>
                </a:cxn>
                <a:cxn ang="T162">
                  <a:pos x="T84" y="T85"/>
                </a:cxn>
                <a:cxn ang="T163">
                  <a:pos x="T86" y="T87"/>
                </a:cxn>
                <a:cxn ang="T164">
                  <a:pos x="T88" y="T89"/>
                </a:cxn>
                <a:cxn ang="T165">
                  <a:pos x="T90" y="T91"/>
                </a:cxn>
                <a:cxn ang="T166">
                  <a:pos x="T92" y="T93"/>
                </a:cxn>
                <a:cxn ang="T167">
                  <a:pos x="T94" y="T95"/>
                </a:cxn>
                <a:cxn ang="T168">
                  <a:pos x="T96" y="T97"/>
                </a:cxn>
                <a:cxn ang="T169">
                  <a:pos x="T98" y="T99"/>
                </a:cxn>
                <a:cxn ang="T170">
                  <a:pos x="T100" y="T101"/>
                </a:cxn>
                <a:cxn ang="T171">
                  <a:pos x="T102" y="T103"/>
                </a:cxn>
                <a:cxn ang="T172">
                  <a:pos x="T104" y="T105"/>
                </a:cxn>
                <a:cxn ang="T173">
                  <a:pos x="T106" y="T107"/>
                </a:cxn>
                <a:cxn ang="T174">
                  <a:pos x="T108" y="T109"/>
                </a:cxn>
                <a:cxn ang="T175">
                  <a:pos x="T110" y="T111"/>
                </a:cxn>
                <a:cxn ang="T176">
                  <a:pos x="T112" y="T113"/>
                </a:cxn>
                <a:cxn ang="T177">
                  <a:pos x="T114" y="T115"/>
                </a:cxn>
                <a:cxn ang="T178">
                  <a:pos x="T116" y="T117"/>
                </a:cxn>
                <a:cxn ang="T179">
                  <a:pos x="T118" y="T119"/>
                </a:cxn>
              </a:cxnLst>
              <a:rect l="0" t="0" r="r" b="b"/>
              <a:pathLst>
                <a:path w="121" h="163">
                  <a:moveTo>
                    <a:pt x="98" y="99"/>
                  </a:moveTo>
                  <a:lnTo>
                    <a:pt x="94" y="95"/>
                  </a:lnTo>
                  <a:lnTo>
                    <a:pt x="86" y="92"/>
                  </a:lnTo>
                  <a:lnTo>
                    <a:pt x="80" y="90"/>
                  </a:lnTo>
                  <a:lnTo>
                    <a:pt x="76" y="88"/>
                  </a:lnTo>
                  <a:lnTo>
                    <a:pt x="67" y="77"/>
                  </a:lnTo>
                  <a:lnTo>
                    <a:pt x="63" y="73"/>
                  </a:lnTo>
                  <a:lnTo>
                    <a:pt x="60" y="70"/>
                  </a:lnTo>
                  <a:lnTo>
                    <a:pt x="61" y="68"/>
                  </a:lnTo>
                  <a:lnTo>
                    <a:pt x="63" y="64"/>
                  </a:lnTo>
                  <a:lnTo>
                    <a:pt x="62" y="61"/>
                  </a:lnTo>
                  <a:lnTo>
                    <a:pt x="60" y="59"/>
                  </a:lnTo>
                  <a:lnTo>
                    <a:pt x="58" y="58"/>
                  </a:lnTo>
                  <a:lnTo>
                    <a:pt x="54" y="58"/>
                  </a:lnTo>
                  <a:lnTo>
                    <a:pt x="50" y="56"/>
                  </a:lnTo>
                  <a:lnTo>
                    <a:pt x="46" y="52"/>
                  </a:lnTo>
                  <a:lnTo>
                    <a:pt x="42" y="34"/>
                  </a:lnTo>
                  <a:lnTo>
                    <a:pt x="44" y="30"/>
                  </a:lnTo>
                  <a:lnTo>
                    <a:pt x="51" y="25"/>
                  </a:lnTo>
                  <a:lnTo>
                    <a:pt x="53" y="23"/>
                  </a:lnTo>
                  <a:lnTo>
                    <a:pt x="53" y="20"/>
                  </a:lnTo>
                  <a:lnTo>
                    <a:pt x="51" y="18"/>
                  </a:lnTo>
                  <a:lnTo>
                    <a:pt x="44" y="10"/>
                  </a:lnTo>
                  <a:lnTo>
                    <a:pt x="44" y="6"/>
                  </a:lnTo>
                  <a:lnTo>
                    <a:pt x="44" y="0"/>
                  </a:lnTo>
                  <a:lnTo>
                    <a:pt x="39" y="1"/>
                  </a:lnTo>
                  <a:lnTo>
                    <a:pt x="31" y="8"/>
                  </a:lnTo>
                  <a:lnTo>
                    <a:pt x="20" y="13"/>
                  </a:lnTo>
                  <a:lnTo>
                    <a:pt x="12" y="14"/>
                  </a:lnTo>
                  <a:lnTo>
                    <a:pt x="10" y="20"/>
                  </a:lnTo>
                  <a:lnTo>
                    <a:pt x="8" y="24"/>
                  </a:lnTo>
                  <a:lnTo>
                    <a:pt x="4" y="39"/>
                  </a:lnTo>
                  <a:lnTo>
                    <a:pt x="5" y="46"/>
                  </a:lnTo>
                  <a:lnTo>
                    <a:pt x="12" y="52"/>
                  </a:lnTo>
                  <a:lnTo>
                    <a:pt x="20" y="55"/>
                  </a:lnTo>
                  <a:lnTo>
                    <a:pt x="21" y="60"/>
                  </a:lnTo>
                  <a:lnTo>
                    <a:pt x="20" y="64"/>
                  </a:lnTo>
                  <a:lnTo>
                    <a:pt x="19" y="69"/>
                  </a:lnTo>
                  <a:lnTo>
                    <a:pt x="18" y="74"/>
                  </a:lnTo>
                  <a:lnTo>
                    <a:pt x="21" y="76"/>
                  </a:lnTo>
                  <a:lnTo>
                    <a:pt x="27" y="78"/>
                  </a:lnTo>
                  <a:lnTo>
                    <a:pt x="33" y="79"/>
                  </a:lnTo>
                  <a:lnTo>
                    <a:pt x="40" y="79"/>
                  </a:lnTo>
                  <a:lnTo>
                    <a:pt x="44" y="79"/>
                  </a:lnTo>
                  <a:lnTo>
                    <a:pt x="47" y="82"/>
                  </a:lnTo>
                  <a:lnTo>
                    <a:pt x="51" y="89"/>
                  </a:lnTo>
                  <a:lnTo>
                    <a:pt x="50" y="96"/>
                  </a:lnTo>
                  <a:lnTo>
                    <a:pt x="49" y="100"/>
                  </a:lnTo>
                  <a:lnTo>
                    <a:pt x="53" y="111"/>
                  </a:lnTo>
                  <a:lnTo>
                    <a:pt x="44" y="107"/>
                  </a:lnTo>
                  <a:lnTo>
                    <a:pt x="37" y="107"/>
                  </a:lnTo>
                  <a:lnTo>
                    <a:pt x="35" y="107"/>
                  </a:lnTo>
                  <a:lnTo>
                    <a:pt x="36" y="99"/>
                  </a:lnTo>
                  <a:lnTo>
                    <a:pt x="37" y="86"/>
                  </a:lnTo>
                  <a:lnTo>
                    <a:pt x="35" y="83"/>
                  </a:lnTo>
                  <a:lnTo>
                    <a:pt x="33" y="82"/>
                  </a:lnTo>
                  <a:lnTo>
                    <a:pt x="31" y="81"/>
                  </a:lnTo>
                  <a:lnTo>
                    <a:pt x="30" y="81"/>
                  </a:lnTo>
                  <a:lnTo>
                    <a:pt x="28" y="81"/>
                  </a:lnTo>
                  <a:lnTo>
                    <a:pt x="26" y="81"/>
                  </a:lnTo>
                  <a:lnTo>
                    <a:pt x="23" y="80"/>
                  </a:lnTo>
                  <a:lnTo>
                    <a:pt x="18" y="76"/>
                  </a:lnTo>
                  <a:lnTo>
                    <a:pt x="15" y="72"/>
                  </a:lnTo>
                  <a:lnTo>
                    <a:pt x="11" y="69"/>
                  </a:lnTo>
                  <a:lnTo>
                    <a:pt x="8" y="67"/>
                  </a:lnTo>
                  <a:lnTo>
                    <a:pt x="3" y="69"/>
                  </a:lnTo>
                  <a:lnTo>
                    <a:pt x="1" y="73"/>
                  </a:lnTo>
                  <a:lnTo>
                    <a:pt x="0" y="76"/>
                  </a:lnTo>
                  <a:lnTo>
                    <a:pt x="1" y="79"/>
                  </a:lnTo>
                  <a:lnTo>
                    <a:pt x="5" y="82"/>
                  </a:lnTo>
                  <a:lnTo>
                    <a:pt x="7" y="84"/>
                  </a:lnTo>
                  <a:lnTo>
                    <a:pt x="6" y="88"/>
                  </a:lnTo>
                  <a:lnTo>
                    <a:pt x="6" y="94"/>
                  </a:lnTo>
                  <a:lnTo>
                    <a:pt x="8" y="103"/>
                  </a:lnTo>
                  <a:lnTo>
                    <a:pt x="15" y="111"/>
                  </a:lnTo>
                  <a:lnTo>
                    <a:pt x="20" y="115"/>
                  </a:lnTo>
                  <a:lnTo>
                    <a:pt x="22" y="120"/>
                  </a:lnTo>
                  <a:lnTo>
                    <a:pt x="21" y="139"/>
                  </a:lnTo>
                  <a:lnTo>
                    <a:pt x="20" y="142"/>
                  </a:lnTo>
                  <a:lnTo>
                    <a:pt x="18" y="146"/>
                  </a:lnTo>
                  <a:lnTo>
                    <a:pt x="16" y="152"/>
                  </a:lnTo>
                  <a:lnTo>
                    <a:pt x="17" y="155"/>
                  </a:lnTo>
                  <a:lnTo>
                    <a:pt x="19" y="158"/>
                  </a:lnTo>
                  <a:lnTo>
                    <a:pt x="23" y="157"/>
                  </a:lnTo>
                  <a:lnTo>
                    <a:pt x="41" y="148"/>
                  </a:lnTo>
                  <a:lnTo>
                    <a:pt x="44" y="145"/>
                  </a:lnTo>
                  <a:lnTo>
                    <a:pt x="51" y="132"/>
                  </a:lnTo>
                  <a:lnTo>
                    <a:pt x="54" y="131"/>
                  </a:lnTo>
                  <a:lnTo>
                    <a:pt x="77" y="131"/>
                  </a:lnTo>
                  <a:lnTo>
                    <a:pt x="82" y="131"/>
                  </a:lnTo>
                  <a:lnTo>
                    <a:pt x="85" y="132"/>
                  </a:lnTo>
                  <a:lnTo>
                    <a:pt x="84" y="135"/>
                  </a:lnTo>
                  <a:lnTo>
                    <a:pt x="82" y="138"/>
                  </a:lnTo>
                  <a:lnTo>
                    <a:pt x="79" y="141"/>
                  </a:lnTo>
                  <a:lnTo>
                    <a:pt x="75" y="146"/>
                  </a:lnTo>
                  <a:lnTo>
                    <a:pt x="74" y="153"/>
                  </a:lnTo>
                  <a:lnTo>
                    <a:pt x="74" y="159"/>
                  </a:lnTo>
                  <a:lnTo>
                    <a:pt x="80" y="163"/>
                  </a:lnTo>
                  <a:lnTo>
                    <a:pt x="91" y="163"/>
                  </a:lnTo>
                  <a:lnTo>
                    <a:pt x="102" y="160"/>
                  </a:lnTo>
                  <a:lnTo>
                    <a:pt x="112" y="152"/>
                  </a:lnTo>
                  <a:lnTo>
                    <a:pt x="117" y="144"/>
                  </a:lnTo>
                  <a:lnTo>
                    <a:pt x="121" y="131"/>
                  </a:lnTo>
                  <a:lnTo>
                    <a:pt x="119" y="119"/>
                  </a:lnTo>
                  <a:lnTo>
                    <a:pt x="114" y="112"/>
                  </a:lnTo>
                  <a:lnTo>
                    <a:pt x="108" y="109"/>
                  </a:lnTo>
                  <a:lnTo>
                    <a:pt x="101" y="108"/>
                  </a:lnTo>
                  <a:lnTo>
                    <a:pt x="97" y="110"/>
                  </a:lnTo>
                  <a:lnTo>
                    <a:pt x="93" y="111"/>
                  </a:lnTo>
                  <a:lnTo>
                    <a:pt x="89" y="112"/>
                  </a:lnTo>
                  <a:lnTo>
                    <a:pt x="86" y="114"/>
                  </a:lnTo>
                  <a:lnTo>
                    <a:pt x="83" y="113"/>
                  </a:lnTo>
                  <a:lnTo>
                    <a:pt x="81" y="113"/>
                  </a:lnTo>
                  <a:lnTo>
                    <a:pt x="79" y="112"/>
                  </a:lnTo>
                  <a:lnTo>
                    <a:pt x="83" y="111"/>
                  </a:lnTo>
                  <a:lnTo>
                    <a:pt x="89" y="109"/>
                  </a:lnTo>
                  <a:lnTo>
                    <a:pt x="93" y="106"/>
                  </a:lnTo>
                  <a:lnTo>
                    <a:pt x="97" y="105"/>
                  </a:lnTo>
                  <a:lnTo>
                    <a:pt x="98" y="103"/>
                  </a:lnTo>
                  <a:lnTo>
                    <a:pt x="98" y="99"/>
                  </a:lnTo>
                  <a:close/>
                </a:path>
              </a:pathLst>
            </a:custGeom>
            <a:solidFill>
              <a:schemeClr val="bg1">
                <a:lumMod val="5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68" name="Freeform 52">
              <a:extLst>
                <a:ext uri="{FF2B5EF4-FFF2-40B4-BE49-F238E27FC236}">
                  <a16:creationId xmlns:a16="http://schemas.microsoft.com/office/drawing/2014/main" id="{00000000-0008-0000-0900-0000407E1200}"/>
                </a:ext>
              </a:extLst>
            </xdr:cNvPr>
            <xdr:cNvSpPr>
              <a:spLocks noChangeAspect="1"/>
            </xdr:cNvSpPr>
          </xdr:nvSpPr>
          <xdr:spPr bwMode="auto">
            <a:xfrm rot="238154">
              <a:off x="68" y="3207"/>
              <a:ext cx="46" cy="44"/>
            </a:xfrm>
            <a:custGeom>
              <a:avLst/>
              <a:gdLst>
                <a:gd name="T0" fmla="*/ 0 w 38"/>
                <a:gd name="T1" fmla="*/ 184 h 37"/>
                <a:gd name="T2" fmla="*/ 27 w 38"/>
                <a:gd name="T3" fmla="*/ 205 h 37"/>
                <a:gd name="T4" fmla="*/ 40 w 38"/>
                <a:gd name="T5" fmla="*/ 210 h 37"/>
                <a:gd name="T6" fmla="*/ 70 w 38"/>
                <a:gd name="T7" fmla="*/ 193 h 37"/>
                <a:gd name="T8" fmla="*/ 113 w 38"/>
                <a:gd name="T9" fmla="*/ 172 h 37"/>
                <a:gd name="T10" fmla="*/ 176 w 38"/>
                <a:gd name="T11" fmla="*/ 136 h 37"/>
                <a:gd name="T12" fmla="*/ 183 w 38"/>
                <a:gd name="T13" fmla="*/ 125 h 37"/>
                <a:gd name="T14" fmla="*/ 213 w 38"/>
                <a:gd name="T15" fmla="*/ 103 h 37"/>
                <a:gd name="T16" fmla="*/ 235 w 38"/>
                <a:gd name="T17" fmla="*/ 81 h 37"/>
                <a:gd name="T18" fmla="*/ 236 w 38"/>
                <a:gd name="T19" fmla="*/ 68 h 37"/>
                <a:gd name="T20" fmla="*/ 243 w 38"/>
                <a:gd name="T21" fmla="*/ 57 h 37"/>
                <a:gd name="T22" fmla="*/ 248 w 38"/>
                <a:gd name="T23" fmla="*/ 29 h 37"/>
                <a:gd name="T24" fmla="*/ 258 w 38"/>
                <a:gd name="T25" fmla="*/ 20 h 37"/>
                <a:gd name="T26" fmla="*/ 248 w 38"/>
                <a:gd name="T27" fmla="*/ 2 h 37"/>
                <a:gd name="T28" fmla="*/ 236 w 38"/>
                <a:gd name="T29" fmla="*/ 1 h 37"/>
                <a:gd name="T30" fmla="*/ 222 w 38"/>
                <a:gd name="T31" fmla="*/ 0 h 37"/>
                <a:gd name="T32" fmla="*/ 201 w 38"/>
                <a:gd name="T33" fmla="*/ 1 h 37"/>
                <a:gd name="T34" fmla="*/ 166 w 38"/>
                <a:gd name="T35" fmla="*/ 2 h 37"/>
                <a:gd name="T36" fmla="*/ 151 w 38"/>
                <a:gd name="T37" fmla="*/ 29 h 37"/>
                <a:gd name="T38" fmla="*/ 113 w 38"/>
                <a:gd name="T39" fmla="*/ 51 h 37"/>
                <a:gd name="T40" fmla="*/ 70 w 38"/>
                <a:gd name="T41" fmla="*/ 87 h 37"/>
                <a:gd name="T42" fmla="*/ 27 w 38"/>
                <a:gd name="T43" fmla="*/ 122 h 37"/>
                <a:gd name="T44" fmla="*/ 1 w 38"/>
                <a:gd name="T45" fmla="*/ 145 h 37"/>
                <a:gd name="T46" fmla="*/ 1 w 38"/>
                <a:gd name="T47" fmla="*/ 151 h 37"/>
                <a:gd name="T48" fmla="*/ 1 w 38"/>
                <a:gd name="T49" fmla="*/ 162 h 37"/>
                <a:gd name="T50" fmla="*/ 0 w 38"/>
                <a:gd name="T51" fmla="*/ 184 h 37"/>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0" t="0" r="r" b="b"/>
              <a:pathLst>
                <a:path w="38" h="37">
                  <a:moveTo>
                    <a:pt x="0" y="33"/>
                  </a:moveTo>
                  <a:lnTo>
                    <a:pt x="4" y="36"/>
                  </a:lnTo>
                  <a:lnTo>
                    <a:pt x="6" y="37"/>
                  </a:lnTo>
                  <a:lnTo>
                    <a:pt x="10" y="34"/>
                  </a:lnTo>
                  <a:lnTo>
                    <a:pt x="17" y="30"/>
                  </a:lnTo>
                  <a:lnTo>
                    <a:pt x="26" y="24"/>
                  </a:lnTo>
                  <a:lnTo>
                    <a:pt x="27" y="22"/>
                  </a:lnTo>
                  <a:lnTo>
                    <a:pt x="31" y="18"/>
                  </a:lnTo>
                  <a:lnTo>
                    <a:pt x="34" y="14"/>
                  </a:lnTo>
                  <a:lnTo>
                    <a:pt x="35" y="12"/>
                  </a:lnTo>
                  <a:lnTo>
                    <a:pt x="36" y="10"/>
                  </a:lnTo>
                  <a:lnTo>
                    <a:pt x="37" y="5"/>
                  </a:lnTo>
                  <a:lnTo>
                    <a:pt x="38" y="3"/>
                  </a:lnTo>
                  <a:lnTo>
                    <a:pt x="37" y="2"/>
                  </a:lnTo>
                  <a:lnTo>
                    <a:pt x="35" y="1"/>
                  </a:lnTo>
                  <a:lnTo>
                    <a:pt x="33" y="0"/>
                  </a:lnTo>
                  <a:lnTo>
                    <a:pt x="30" y="1"/>
                  </a:lnTo>
                  <a:lnTo>
                    <a:pt x="25" y="2"/>
                  </a:lnTo>
                  <a:lnTo>
                    <a:pt x="22" y="5"/>
                  </a:lnTo>
                  <a:lnTo>
                    <a:pt x="17" y="9"/>
                  </a:lnTo>
                  <a:lnTo>
                    <a:pt x="10" y="15"/>
                  </a:lnTo>
                  <a:lnTo>
                    <a:pt x="4" y="21"/>
                  </a:lnTo>
                  <a:lnTo>
                    <a:pt x="1" y="25"/>
                  </a:lnTo>
                  <a:lnTo>
                    <a:pt x="1" y="27"/>
                  </a:lnTo>
                  <a:lnTo>
                    <a:pt x="1" y="29"/>
                  </a:lnTo>
                  <a:lnTo>
                    <a:pt x="0" y="33"/>
                  </a:lnTo>
                  <a:close/>
                </a:path>
              </a:pathLst>
            </a:custGeom>
            <a:solidFill>
              <a:schemeClr val="bg1">
                <a:lumMod val="50000"/>
              </a:schemeClr>
            </a:solidFill>
            <a:ln>
              <a:noFill/>
            </a:ln>
            <a:extLst>
              <a:ext uri="{91240B29-F687-4F45-9708-019B960494DF}">
                <a14:hiddenLine xmlns:a14="http://schemas.microsoft.com/office/drawing/2010/main" w="12700">
                  <a:solidFill>
                    <a:srgbClr val="000000"/>
                  </a:solidFill>
                  <a:prstDash val="solid"/>
                  <a:round/>
                  <a:headEnd/>
                  <a:tailEnd/>
                </a14:hiddenLine>
              </a:ext>
            </a:extLst>
          </xdr:spPr>
        </xdr:sp>
        <xdr:sp macro="" textlink="">
          <xdr:nvSpPr>
            <xdr:cNvPr id="1211969" name="Freeform 53">
              <a:extLst>
                <a:ext uri="{FF2B5EF4-FFF2-40B4-BE49-F238E27FC236}">
                  <a16:creationId xmlns:a16="http://schemas.microsoft.com/office/drawing/2014/main" id="{00000000-0008-0000-0900-0000417E1200}"/>
                </a:ext>
              </a:extLst>
            </xdr:cNvPr>
            <xdr:cNvSpPr>
              <a:spLocks noChangeAspect="1"/>
            </xdr:cNvSpPr>
          </xdr:nvSpPr>
          <xdr:spPr bwMode="auto">
            <a:xfrm rot="238154">
              <a:off x="144" y="3113"/>
              <a:ext cx="30" cy="42"/>
            </a:xfrm>
            <a:custGeom>
              <a:avLst/>
              <a:gdLst>
                <a:gd name="T0" fmla="*/ 35 w 25"/>
                <a:gd name="T1" fmla="*/ 40 h 34"/>
                <a:gd name="T2" fmla="*/ 20 w 25"/>
                <a:gd name="T3" fmla="*/ 110 h 34"/>
                <a:gd name="T4" fmla="*/ 1 w 25"/>
                <a:gd name="T5" fmla="*/ 182 h 34"/>
                <a:gd name="T6" fmla="*/ 1 w 25"/>
                <a:gd name="T7" fmla="*/ 216 h 34"/>
                <a:gd name="T8" fmla="*/ 0 w 25"/>
                <a:gd name="T9" fmla="*/ 257 h 34"/>
                <a:gd name="T10" fmla="*/ 20 w 25"/>
                <a:gd name="T11" fmla="*/ 280 h 34"/>
                <a:gd name="T12" fmla="*/ 50 w 25"/>
                <a:gd name="T13" fmla="*/ 278 h 34"/>
                <a:gd name="T14" fmla="*/ 85 w 25"/>
                <a:gd name="T15" fmla="*/ 278 h 34"/>
                <a:gd name="T16" fmla="*/ 122 w 25"/>
                <a:gd name="T17" fmla="*/ 278 h 34"/>
                <a:gd name="T18" fmla="*/ 154 w 25"/>
                <a:gd name="T19" fmla="*/ 208 h 34"/>
                <a:gd name="T20" fmla="*/ 154 w 25"/>
                <a:gd name="T21" fmla="*/ 151 h 34"/>
                <a:gd name="T22" fmla="*/ 132 w 25"/>
                <a:gd name="T23" fmla="*/ 115 h 34"/>
                <a:gd name="T24" fmla="*/ 103 w 25"/>
                <a:gd name="T25" fmla="*/ 61 h 34"/>
                <a:gd name="T26" fmla="*/ 92 w 25"/>
                <a:gd name="T27" fmla="*/ 1 h 34"/>
                <a:gd name="T28" fmla="*/ 85 w 25"/>
                <a:gd name="T29" fmla="*/ 0 h 34"/>
                <a:gd name="T30" fmla="*/ 59 w 25"/>
                <a:gd name="T31" fmla="*/ 0 h 34"/>
                <a:gd name="T32" fmla="*/ 35 w 25"/>
                <a:gd name="T33" fmla="*/ 40 h 3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25" h="34">
                  <a:moveTo>
                    <a:pt x="6" y="5"/>
                  </a:moveTo>
                  <a:lnTo>
                    <a:pt x="3" y="13"/>
                  </a:lnTo>
                  <a:lnTo>
                    <a:pt x="1" y="22"/>
                  </a:lnTo>
                  <a:lnTo>
                    <a:pt x="1" y="26"/>
                  </a:lnTo>
                  <a:lnTo>
                    <a:pt x="0" y="31"/>
                  </a:lnTo>
                  <a:lnTo>
                    <a:pt x="3" y="34"/>
                  </a:lnTo>
                  <a:lnTo>
                    <a:pt x="8" y="33"/>
                  </a:lnTo>
                  <a:lnTo>
                    <a:pt x="13" y="33"/>
                  </a:lnTo>
                  <a:lnTo>
                    <a:pt x="19" y="33"/>
                  </a:lnTo>
                  <a:lnTo>
                    <a:pt x="25" y="25"/>
                  </a:lnTo>
                  <a:lnTo>
                    <a:pt x="25" y="19"/>
                  </a:lnTo>
                  <a:lnTo>
                    <a:pt x="22" y="14"/>
                  </a:lnTo>
                  <a:lnTo>
                    <a:pt x="17" y="7"/>
                  </a:lnTo>
                  <a:lnTo>
                    <a:pt x="15" y="1"/>
                  </a:lnTo>
                  <a:lnTo>
                    <a:pt x="13" y="0"/>
                  </a:lnTo>
                  <a:lnTo>
                    <a:pt x="9" y="0"/>
                  </a:lnTo>
                  <a:lnTo>
                    <a:pt x="6" y="5"/>
                  </a:lnTo>
                  <a:close/>
                </a:path>
              </a:pathLst>
            </a:custGeom>
            <a:solidFill>
              <a:schemeClr val="bg1">
                <a:lumMod val="50000"/>
              </a:schemeClr>
            </a:solidFill>
            <a:ln>
              <a:noFill/>
            </a:ln>
            <a:extLst>
              <a:ext uri="{91240B29-F687-4F45-9708-019B960494DF}">
                <a14:hiddenLine xmlns:a14="http://schemas.microsoft.com/office/drawing/2010/main" w="12700">
                  <a:solidFill>
                    <a:srgbClr val="000000"/>
                  </a:solidFill>
                  <a:prstDash val="solid"/>
                  <a:round/>
                  <a:headEnd/>
                  <a:tailEnd/>
                </a14:hiddenLine>
              </a:ext>
            </a:extLst>
          </xdr:spPr>
        </xdr:sp>
        <xdr:sp macro="" textlink="">
          <xdr:nvSpPr>
            <xdr:cNvPr id="1211970" name="Freeform 54">
              <a:extLst>
                <a:ext uri="{FF2B5EF4-FFF2-40B4-BE49-F238E27FC236}">
                  <a16:creationId xmlns:a16="http://schemas.microsoft.com/office/drawing/2014/main" id="{00000000-0008-0000-0900-0000427E1200}"/>
                </a:ext>
              </a:extLst>
            </xdr:cNvPr>
            <xdr:cNvSpPr>
              <a:spLocks noChangeAspect="1"/>
            </xdr:cNvSpPr>
          </xdr:nvSpPr>
          <xdr:spPr bwMode="auto">
            <a:xfrm rot="238154">
              <a:off x="218" y="3292"/>
              <a:ext cx="193" cy="228"/>
            </a:xfrm>
            <a:custGeom>
              <a:avLst/>
              <a:gdLst>
                <a:gd name="T0" fmla="*/ 364 w 156"/>
                <a:gd name="T1" fmla="*/ 1399 h 185"/>
                <a:gd name="T2" fmla="*/ 304 w 156"/>
                <a:gd name="T3" fmla="*/ 1331 h 185"/>
                <a:gd name="T4" fmla="*/ 226 w 156"/>
                <a:gd name="T5" fmla="*/ 1377 h 185"/>
                <a:gd name="T6" fmla="*/ 71 w 156"/>
                <a:gd name="T7" fmla="*/ 1399 h 185"/>
                <a:gd name="T8" fmla="*/ 0 w 156"/>
                <a:gd name="T9" fmla="*/ 1331 h 185"/>
                <a:gd name="T10" fmla="*/ 192 w 156"/>
                <a:gd name="T11" fmla="*/ 1080 h 185"/>
                <a:gd name="T12" fmla="*/ 270 w 156"/>
                <a:gd name="T13" fmla="*/ 921 h 185"/>
                <a:gd name="T14" fmla="*/ 334 w 156"/>
                <a:gd name="T15" fmla="*/ 805 h 185"/>
                <a:gd name="T16" fmla="*/ 142 w 156"/>
                <a:gd name="T17" fmla="*/ 832 h 185"/>
                <a:gd name="T18" fmla="*/ 142 w 156"/>
                <a:gd name="T19" fmla="*/ 758 h 185"/>
                <a:gd name="T20" fmla="*/ 393 w 156"/>
                <a:gd name="T21" fmla="*/ 653 h 185"/>
                <a:gd name="T22" fmla="*/ 226 w 156"/>
                <a:gd name="T23" fmla="*/ 389 h 185"/>
                <a:gd name="T24" fmla="*/ 167 w 156"/>
                <a:gd name="T25" fmla="*/ 221 h 185"/>
                <a:gd name="T26" fmla="*/ 257 w 156"/>
                <a:gd name="T27" fmla="*/ 221 h 185"/>
                <a:gd name="T28" fmla="*/ 285 w 156"/>
                <a:gd name="T29" fmla="*/ 150 h 185"/>
                <a:gd name="T30" fmla="*/ 353 w 156"/>
                <a:gd name="T31" fmla="*/ 108 h 185"/>
                <a:gd name="T32" fmla="*/ 424 w 156"/>
                <a:gd name="T33" fmla="*/ 63 h 185"/>
                <a:gd name="T34" fmla="*/ 485 w 156"/>
                <a:gd name="T35" fmla="*/ 1 h 185"/>
                <a:gd name="T36" fmla="*/ 650 w 156"/>
                <a:gd name="T37" fmla="*/ 48 h 185"/>
                <a:gd name="T38" fmla="*/ 804 w 156"/>
                <a:gd name="T39" fmla="*/ 133 h 185"/>
                <a:gd name="T40" fmla="*/ 878 w 156"/>
                <a:gd name="T41" fmla="*/ 185 h 185"/>
                <a:gd name="T42" fmla="*/ 980 w 156"/>
                <a:gd name="T43" fmla="*/ 221 h 185"/>
                <a:gd name="T44" fmla="*/ 980 w 156"/>
                <a:gd name="T45" fmla="*/ 96 h 185"/>
                <a:gd name="T46" fmla="*/ 1054 w 156"/>
                <a:gd name="T47" fmla="*/ 0 h 185"/>
                <a:gd name="T48" fmla="*/ 1174 w 156"/>
                <a:gd name="T49" fmla="*/ 63 h 185"/>
                <a:gd name="T50" fmla="*/ 1212 w 156"/>
                <a:gd name="T51" fmla="*/ 221 h 185"/>
                <a:gd name="T52" fmla="*/ 1252 w 156"/>
                <a:gd name="T53" fmla="*/ 335 h 185"/>
                <a:gd name="T54" fmla="*/ 1267 w 156"/>
                <a:gd name="T55" fmla="*/ 450 h 185"/>
                <a:gd name="T56" fmla="*/ 1311 w 156"/>
                <a:gd name="T57" fmla="*/ 542 h 185"/>
                <a:gd name="T58" fmla="*/ 1235 w 156"/>
                <a:gd name="T59" fmla="*/ 557 h 185"/>
                <a:gd name="T60" fmla="*/ 1196 w 156"/>
                <a:gd name="T61" fmla="*/ 653 h 185"/>
                <a:gd name="T62" fmla="*/ 1118 w 156"/>
                <a:gd name="T63" fmla="*/ 727 h 185"/>
                <a:gd name="T64" fmla="*/ 1064 w 156"/>
                <a:gd name="T65" fmla="*/ 757 h 185"/>
                <a:gd name="T66" fmla="*/ 1024 w 156"/>
                <a:gd name="T67" fmla="*/ 845 h 185"/>
                <a:gd name="T68" fmla="*/ 928 w 156"/>
                <a:gd name="T69" fmla="*/ 894 h 185"/>
                <a:gd name="T70" fmla="*/ 896 w 156"/>
                <a:gd name="T71" fmla="*/ 981 h 185"/>
                <a:gd name="T72" fmla="*/ 909 w 156"/>
                <a:gd name="T73" fmla="*/ 1093 h 185"/>
                <a:gd name="T74" fmla="*/ 928 w 156"/>
                <a:gd name="T75" fmla="*/ 1184 h 185"/>
                <a:gd name="T76" fmla="*/ 918 w 156"/>
                <a:gd name="T77" fmla="*/ 1247 h 185"/>
                <a:gd name="T78" fmla="*/ 860 w 156"/>
                <a:gd name="T79" fmla="*/ 1308 h 185"/>
                <a:gd name="T80" fmla="*/ 878 w 156"/>
                <a:gd name="T81" fmla="*/ 1399 h 185"/>
                <a:gd name="T82" fmla="*/ 812 w 156"/>
                <a:gd name="T83" fmla="*/ 1436 h 185"/>
                <a:gd name="T84" fmla="*/ 750 w 156"/>
                <a:gd name="T85" fmla="*/ 1465 h 185"/>
                <a:gd name="T86" fmla="*/ 671 w 156"/>
                <a:gd name="T87" fmla="*/ 1468 h 185"/>
                <a:gd name="T88" fmla="*/ 594 w 156"/>
                <a:gd name="T89" fmla="*/ 1491 h 185"/>
                <a:gd name="T90" fmla="*/ 465 w 156"/>
                <a:gd name="T91" fmla="*/ 1465 h 185"/>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0" t="0" r="r" b="b"/>
              <a:pathLst>
                <a:path w="156" h="185">
                  <a:moveTo>
                    <a:pt x="49" y="180"/>
                  </a:moveTo>
                  <a:lnTo>
                    <a:pt x="46" y="176"/>
                  </a:lnTo>
                  <a:lnTo>
                    <a:pt x="43" y="173"/>
                  </a:lnTo>
                  <a:lnTo>
                    <a:pt x="41" y="168"/>
                  </a:lnTo>
                  <a:lnTo>
                    <a:pt x="38" y="165"/>
                  </a:lnTo>
                  <a:lnTo>
                    <a:pt x="36" y="165"/>
                  </a:lnTo>
                  <a:lnTo>
                    <a:pt x="33" y="165"/>
                  </a:lnTo>
                  <a:lnTo>
                    <a:pt x="31" y="168"/>
                  </a:lnTo>
                  <a:lnTo>
                    <a:pt x="27" y="170"/>
                  </a:lnTo>
                  <a:lnTo>
                    <a:pt x="22" y="170"/>
                  </a:lnTo>
                  <a:lnTo>
                    <a:pt x="16" y="173"/>
                  </a:lnTo>
                  <a:lnTo>
                    <a:pt x="8" y="173"/>
                  </a:lnTo>
                  <a:lnTo>
                    <a:pt x="6" y="172"/>
                  </a:lnTo>
                  <a:lnTo>
                    <a:pt x="2" y="169"/>
                  </a:lnTo>
                  <a:lnTo>
                    <a:pt x="0" y="165"/>
                  </a:lnTo>
                  <a:lnTo>
                    <a:pt x="5" y="159"/>
                  </a:lnTo>
                  <a:lnTo>
                    <a:pt x="18" y="144"/>
                  </a:lnTo>
                  <a:lnTo>
                    <a:pt x="23" y="134"/>
                  </a:lnTo>
                  <a:lnTo>
                    <a:pt x="26" y="127"/>
                  </a:lnTo>
                  <a:lnTo>
                    <a:pt x="28" y="121"/>
                  </a:lnTo>
                  <a:lnTo>
                    <a:pt x="32" y="114"/>
                  </a:lnTo>
                  <a:lnTo>
                    <a:pt x="40" y="104"/>
                  </a:lnTo>
                  <a:lnTo>
                    <a:pt x="41" y="102"/>
                  </a:lnTo>
                  <a:lnTo>
                    <a:pt x="40" y="100"/>
                  </a:lnTo>
                  <a:lnTo>
                    <a:pt x="38" y="100"/>
                  </a:lnTo>
                  <a:lnTo>
                    <a:pt x="27" y="103"/>
                  </a:lnTo>
                  <a:lnTo>
                    <a:pt x="17" y="103"/>
                  </a:lnTo>
                  <a:lnTo>
                    <a:pt x="13" y="101"/>
                  </a:lnTo>
                  <a:lnTo>
                    <a:pt x="14" y="98"/>
                  </a:lnTo>
                  <a:lnTo>
                    <a:pt x="17" y="94"/>
                  </a:lnTo>
                  <a:lnTo>
                    <a:pt x="25" y="91"/>
                  </a:lnTo>
                  <a:lnTo>
                    <a:pt x="38" y="85"/>
                  </a:lnTo>
                  <a:lnTo>
                    <a:pt x="47" y="81"/>
                  </a:lnTo>
                  <a:lnTo>
                    <a:pt x="48" y="80"/>
                  </a:lnTo>
                  <a:lnTo>
                    <a:pt x="48" y="75"/>
                  </a:lnTo>
                  <a:lnTo>
                    <a:pt x="27" y="48"/>
                  </a:lnTo>
                  <a:lnTo>
                    <a:pt x="23" y="43"/>
                  </a:lnTo>
                  <a:lnTo>
                    <a:pt x="21" y="37"/>
                  </a:lnTo>
                  <a:lnTo>
                    <a:pt x="19" y="27"/>
                  </a:lnTo>
                  <a:lnTo>
                    <a:pt x="25" y="27"/>
                  </a:lnTo>
                  <a:lnTo>
                    <a:pt x="28" y="27"/>
                  </a:lnTo>
                  <a:lnTo>
                    <a:pt x="31" y="27"/>
                  </a:lnTo>
                  <a:lnTo>
                    <a:pt x="34" y="26"/>
                  </a:lnTo>
                  <a:lnTo>
                    <a:pt x="34" y="23"/>
                  </a:lnTo>
                  <a:lnTo>
                    <a:pt x="34" y="19"/>
                  </a:lnTo>
                  <a:lnTo>
                    <a:pt x="35" y="18"/>
                  </a:lnTo>
                  <a:lnTo>
                    <a:pt x="39" y="16"/>
                  </a:lnTo>
                  <a:lnTo>
                    <a:pt x="42" y="13"/>
                  </a:lnTo>
                  <a:lnTo>
                    <a:pt x="45" y="11"/>
                  </a:lnTo>
                  <a:lnTo>
                    <a:pt x="46" y="8"/>
                  </a:lnTo>
                  <a:lnTo>
                    <a:pt x="50" y="8"/>
                  </a:lnTo>
                  <a:lnTo>
                    <a:pt x="53" y="8"/>
                  </a:lnTo>
                  <a:lnTo>
                    <a:pt x="56" y="3"/>
                  </a:lnTo>
                  <a:lnTo>
                    <a:pt x="57" y="1"/>
                  </a:lnTo>
                  <a:lnTo>
                    <a:pt x="60" y="0"/>
                  </a:lnTo>
                  <a:lnTo>
                    <a:pt x="66" y="1"/>
                  </a:lnTo>
                  <a:lnTo>
                    <a:pt x="77" y="6"/>
                  </a:lnTo>
                  <a:lnTo>
                    <a:pt x="83" y="10"/>
                  </a:lnTo>
                  <a:lnTo>
                    <a:pt x="90" y="13"/>
                  </a:lnTo>
                  <a:lnTo>
                    <a:pt x="95" y="16"/>
                  </a:lnTo>
                  <a:lnTo>
                    <a:pt x="96" y="16"/>
                  </a:lnTo>
                  <a:lnTo>
                    <a:pt x="99" y="20"/>
                  </a:lnTo>
                  <a:lnTo>
                    <a:pt x="104" y="23"/>
                  </a:lnTo>
                  <a:lnTo>
                    <a:pt x="110" y="27"/>
                  </a:lnTo>
                  <a:lnTo>
                    <a:pt x="114" y="27"/>
                  </a:lnTo>
                  <a:lnTo>
                    <a:pt x="117" y="27"/>
                  </a:lnTo>
                  <a:lnTo>
                    <a:pt x="118" y="22"/>
                  </a:lnTo>
                  <a:lnTo>
                    <a:pt x="119" y="17"/>
                  </a:lnTo>
                  <a:lnTo>
                    <a:pt x="117" y="12"/>
                  </a:lnTo>
                  <a:lnTo>
                    <a:pt x="117" y="7"/>
                  </a:lnTo>
                  <a:lnTo>
                    <a:pt x="120" y="2"/>
                  </a:lnTo>
                  <a:lnTo>
                    <a:pt x="125" y="0"/>
                  </a:lnTo>
                  <a:lnTo>
                    <a:pt x="130" y="1"/>
                  </a:lnTo>
                  <a:lnTo>
                    <a:pt x="136" y="5"/>
                  </a:lnTo>
                  <a:lnTo>
                    <a:pt x="139" y="8"/>
                  </a:lnTo>
                  <a:lnTo>
                    <a:pt x="141" y="14"/>
                  </a:lnTo>
                  <a:lnTo>
                    <a:pt x="144" y="21"/>
                  </a:lnTo>
                  <a:lnTo>
                    <a:pt x="145" y="27"/>
                  </a:lnTo>
                  <a:lnTo>
                    <a:pt x="146" y="32"/>
                  </a:lnTo>
                  <a:lnTo>
                    <a:pt x="148" y="38"/>
                  </a:lnTo>
                  <a:lnTo>
                    <a:pt x="149" y="41"/>
                  </a:lnTo>
                  <a:lnTo>
                    <a:pt x="148" y="45"/>
                  </a:lnTo>
                  <a:lnTo>
                    <a:pt x="148" y="50"/>
                  </a:lnTo>
                  <a:lnTo>
                    <a:pt x="150" y="55"/>
                  </a:lnTo>
                  <a:lnTo>
                    <a:pt x="153" y="59"/>
                  </a:lnTo>
                  <a:lnTo>
                    <a:pt x="156" y="63"/>
                  </a:lnTo>
                  <a:lnTo>
                    <a:pt x="156" y="67"/>
                  </a:lnTo>
                  <a:lnTo>
                    <a:pt x="153" y="67"/>
                  </a:lnTo>
                  <a:lnTo>
                    <a:pt x="150" y="68"/>
                  </a:lnTo>
                  <a:lnTo>
                    <a:pt x="147" y="69"/>
                  </a:lnTo>
                  <a:lnTo>
                    <a:pt x="145" y="74"/>
                  </a:lnTo>
                  <a:lnTo>
                    <a:pt x="143" y="78"/>
                  </a:lnTo>
                  <a:lnTo>
                    <a:pt x="142" y="81"/>
                  </a:lnTo>
                  <a:lnTo>
                    <a:pt x="137" y="84"/>
                  </a:lnTo>
                  <a:lnTo>
                    <a:pt x="135" y="87"/>
                  </a:lnTo>
                  <a:lnTo>
                    <a:pt x="133" y="90"/>
                  </a:lnTo>
                  <a:lnTo>
                    <a:pt x="132" y="91"/>
                  </a:lnTo>
                  <a:lnTo>
                    <a:pt x="129" y="91"/>
                  </a:lnTo>
                  <a:lnTo>
                    <a:pt x="127" y="93"/>
                  </a:lnTo>
                  <a:lnTo>
                    <a:pt x="125" y="102"/>
                  </a:lnTo>
                  <a:lnTo>
                    <a:pt x="123" y="104"/>
                  </a:lnTo>
                  <a:lnTo>
                    <a:pt x="121" y="105"/>
                  </a:lnTo>
                  <a:lnTo>
                    <a:pt x="118" y="105"/>
                  </a:lnTo>
                  <a:lnTo>
                    <a:pt x="114" y="107"/>
                  </a:lnTo>
                  <a:lnTo>
                    <a:pt x="111" y="110"/>
                  </a:lnTo>
                  <a:lnTo>
                    <a:pt x="110" y="113"/>
                  </a:lnTo>
                  <a:lnTo>
                    <a:pt x="108" y="117"/>
                  </a:lnTo>
                  <a:lnTo>
                    <a:pt x="107" y="121"/>
                  </a:lnTo>
                  <a:lnTo>
                    <a:pt x="107" y="126"/>
                  </a:lnTo>
                  <a:lnTo>
                    <a:pt x="107" y="129"/>
                  </a:lnTo>
                  <a:lnTo>
                    <a:pt x="108" y="135"/>
                  </a:lnTo>
                  <a:lnTo>
                    <a:pt x="110" y="138"/>
                  </a:lnTo>
                  <a:lnTo>
                    <a:pt x="111" y="142"/>
                  </a:lnTo>
                  <a:lnTo>
                    <a:pt x="111" y="146"/>
                  </a:lnTo>
                  <a:lnTo>
                    <a:pt x="111" y="150"/>
                  </a:lnTo>
                  <a:lnTo>
                    <a:pt x="110" y="152"/>
                  </a:lnTo>
                  <a:lnTo>
                    <a:pt x="109" y="154"/>
                  </a:lnTo>
                  <a:lnTo>
                    <a:pt x="106" y="157"/>
                  </a:lnTo>
                  <a:lnTo>
                    <a:pt x="104" y="159"/>
                  </a:lnTo>
                  <a:lnTo>
                    <a:pt x="103" y="162"/>
                  </a:lnTo>
                  <a:lnTo>
                    <a:pt x="103" y="165"/>
                  </a:lnTo>
                  <a:lnTo>
                    <a:pt x="105" y="169"/>
                  </a:lnTo>
                  <a:lnTo>
                    <a:pt x="104" y="173"/>
                  </a:lnTo>
                  <a:lnTo>
                    <a:pt x="103" y="176"/>
                  </a:lnTo>
                  <a:lnTo>
                    <a:pt x="100" y="178"/>
                  </a:lnTo>
                  <a:lnTo>
                    <a:pt x="97" y="178"/>
                  </a:lnTo>
                  <a:lnTo>
                    <a:pt x="94" y="178"/>
                  </a:lnTo>
                  <a:lnTo>
                    <a:pt x="92" y="179"/>
                  </a:lnTo>
                  <a:lnTo>
                    <a:pt x="90" y="181"/>
                  </a:lnTo>
                  <a:lnTo>
                    <a:pt x="88" y="182"/>
                  </a:lnTo>
                  <a:lnTo>
                    <a:pt x="83" y="183"/>
                  </a:lnTo>
                  <a:lnTo>
                    <a:pt x="80" y="182"/>
                  </a:lnTo>
                  <a:lnTo>
                    <a:pt x="77" y="183"/>
                  </a:lnTo>
                  <a:lnTo>
                    <a:pt x="72" y="184"/>
                  </a:lnTo>
                  <a:lnTo>
                    <a:pt x="70" y="185"/>
                  </a:lnTo>
                  <a:lnTo>
                    <a:pt x="66" y="185"/>
                  </a:lnTo>
                  <a:lnTo>
                    <a:pt x="61" y="182"/>
                  </a:lnTo>
                  <a:lnTo>
                    <a:pt x="56" y="181"/>
                  </a:lnTo>
                  <a:lnTo>
                    <a:pt x="49" y="180"/>
                  </a:lnTo>
                  <a:close/>
                </a:path>
              </a:pathLst>
            </a:custGeom>
            <a:solidFill>
              <a:schemeClr val="bg1">
                <a:lumMod val="5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71" name="Freeform 55">
              <a:extLst>
                <a:ext uri="{FF2B5EF4-FFF2-40B4-BE49-F238E27FC236}">
                  <a16:creationId xmlns:a16="http://schemas.microsoft.com/office/drawing/2014/main" id="{00000000-0008-0000-0900-0000437E1200}"/>
                </a:ext>
              </a:extLst>
            </xdr:cNvPr>
            <xdr:cNvSpPr>
              <a:spLocks noChangeAspect="1"/>
            </xdr:cNvSpPr>
          </xdr:nvSpPr>
          <xdr:spPr bwMode="auto">
            <a:xfrm rot="238154">
              <a:off x="144" y="3404"/>
              <a:ext cx="53" cy="82"/>
            </a:xfrm>
            <a:custGeom>
              <a:avLst/>
              <a:gdLst>
                <a:gd name="T0" fmla="*/ 432 w 42"/>
                <a:gd name="T1" fmla="*/ 93 h 65"/>
                <a:gd name="T2" fmla="*/ 432 w 42"/>
                <a:gd name="T3" fmla="*/ 117 h 65"/>
                <a:gd name="T4" fmla="*/ 432 w 42"/>
                <a:gd name="T5" fmla="*/ 159 h 65"/>
                <a:gd name="T6" fmla="*/ 406 w 42"/>
                <a:gd name="T7" fmla="*/ 245 h 65"/>
                <a:gd name="T8" fmla="*/ 396 w 42"/>
                <a:gd name="T9" fmla="*/ 290 h 65"/>
                <a:gd name="T10" fmla="*/ 376 w 42"/>
                <a:gd name="T11" fmla="*/ 367 h 65"/>
                <a:gd name="T12" fmla="*/ 368 w 42"/>
                <a:gd name="T13" fmla="*/ 424 h 65"/>
                <a:gd name="T14" fmla="*/ 366 w 42"/>
                <a:gd name="T15" fmla="*/ 462 h 65"/>
                <a:gd name="T16" fmla="*/ 342 w 42"/>
                <a:gd name="T17" fmla="*/ 474 h 65"/>
                <a:gd name="T18" fmla="*/ 298 w 42"/>
                <a:gd name="T19" fmla="*/ 500 h 65"/>
                <a:gd name="T20" fmla="*/ 271 w 42"/>
                <a:gd name="T21" fmla="*/ 522 h 65"/>
                <a:gd name="T22" fmla="*/ 220 w 42"/>
                <a:gd name="T23" fmla="*/ 583 h 65"/>
                <a:gd name="T24" fmla="*/ 160 w 42"/>
                <a:gd name="T25" fmla="*/ 589 h 65"/>
                <a:gd name="T26" fmla="*/ 122 w 42"/>
                <a:gd name="T27" fmla="*/ 631 h 65"/>
                <a:gd name="T28" fmla="*/ 101 w 42"/>
                <a:gd name="T29" fmla="*/ 661 h 65"/>
                <a:gd name="T30" fmla="*/ 93 w 42"/>
                <a:gd name="T31" fmla="*/ 661 h 65"/>
                <a:gd name="T32" fmla="*/ 63 w 42"/>
                <a:gd name="T33" fmla="*/ 643 h 65"/>
                <a:gd name="T34" fmla="*/ 25 w 42"/>
                <a:gd name="T35" fmla="*/ 621 h 65"/>
                <a:gd name="T36" fmla="*/ 0 w 42"/>
                <a:gd name="T37" fmla="*/ 598 h 65"/>
                <a:gd name="T38" fmla="*/ 0 w 42"/>
                <a:gd name="T39" fmla="*/ 589 h 65"/>
                <a:gd name="T40" fmla="*/ 0 w 42"/>
                <a:gd name="T41" fmla="*/ 542 h 65"/>
                <a:gd name="T42" fmla="*/ 0 w 42"/>
                <a:gd name="T43" fmla="*/ 500 h 65"/>
                <a:gd name="T44" fmla="*/ 0 w 42"/>
                <a:gd name="T45" fmla="*/ 467 h 65"/>
                <a:gd name="T46" fmla="*/ 0 w 42"/>
                <a:gd name="T47" fmla="*/ 424 h 65"/>
                <a:gd name="T48" fmla="*/ 25 w 42"/>
                <a:gd name="T49" fmla="*/ 367 h 65"/>
                <a:gd name="T50" fmla="*/ 25 w 42"/>
                <a:gd name="T51" fmla="*/ 320 h 65"/>
                <a:gd name="T52" fmla="*/ 40 w 42"/>
                <a:gd name="T53" fmla="*/ 254 h 65"/>
                <a:gd name="T54" fmla="*/ 74 w 42"/>
                <a:gd name="T55" fmla="*/ 159 h 65"/>
                <a:gd name="T56" fmla="*/ 80 w 42"/>
                <a:gd name="T57" fmla="*/ 117 h 65"/>
                <a:gd name="T58" fmla="*/ 101 w 42"/>
                <a:gd name="T59" fmla="*/ 79 h 65"/>
                <a:gd name="T60" fmla="*/ 122 w 42"/>
                <a:gd name="T61" fmla="*/ 50 h 65"/>
                <a:gd name="T62" fmla="*/ 127 w 42"/>
                <a:gd name="T63" fmla="*/ 40 h 65"/>
                <a:gd name="T64" fmla="*/ 160 w 42"/>
                <a:gd name="T65" fmla="*/ 25 h 65"/>
                <a:gd name="T66" fmla="*/ 194 w 42"/>
                <a:gd name="T67" fmla="*/ 0 h 65"/>
                <a:gd name="T68" fmla="*/ 230 w 42"/>
                <a:gd name="T69" fmla="*/ 0 h 65"/>
                <a:gd name="T70" fmla="*/ 245 w 42"/>
                <a:gd name="T71" fmla="*/ 0 h 65"/>
                <a:gd name="T72" fmla="*/ 290 w 42"/>
                <a:gd name="T73" fmla="*/ 1 h 65"/>
                <a:gd name="T74" fmla="*/ 322 w 42"/>
                <a:gd name="T75" fmla="*/ 25 h 65"/>
                <a:gd name="T76" fmla="*/ 368 w 42"/>
                <a:gd name="T77" fmla="*/ 32 h 65"/>
                <a:gd name="T78" fmla="*/ 406 w 42"/>
                <a:gd name="T79" fmla="*/ 40 h 65"/>
                <a:gd name="T80" fmla="*/ 432 w 42"/>
                <a:gd name="T81" fmla="*/ 93 h 65"/>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0" t="0" r="r" b="b"/>
              <a:pathLst>
                <a:path w="42" h="65">
                  <a:moveTo>
                    <a:pt x="42" y="9"/>
                  </a:moveTo>
                  <a:lnTo>
                    <a:pt x="42" y="11"/>
                  </a:lnTo>
                  <a:lnTo>
                    <a:pt x="42" y="16"/>
                  </a:lnTo>
                  <a:lnTo>
                    <a:pt x="40" y="24"/>
                  </a:lnTo>
                  <a:lnTo>
                    <a:pt x="39" y="28"/>
                  </a:lnTo>
                  <a:lnTo>
                    <a:pt x="37" y="36"/>
                  </a:lnTo>
                  <a:lnTo>
                    <a:pt x="36" y="41"/>
                  </a:lnTo>
                  <a:lnTo>
                    <a:pt x="35" y="44"/>
                  </a:lnTo>
                  <a:lnTo>
                    <a:pt x="33" y="47"/>
                  </a:lnTo>
                  <a:lnTo>
                    <a:pt x="29" y="49"/>
                  </a:lnTo>
                  <a:lnTo>
                    <a:pt x="26" y="51"/>
                  </a:lnTo>
                  <a:lnTo>
                    <a:pt x="21" y="56"/>
                  </a:lnTo>
                  <a:lnTo>
                    <a:pt x="16" y="58"/>
                  </a:lnTo>
                  <a:lnTo>
                    <a:pt x="12" y="62"/>
                  </a:lnTo>
                  <a:lnTo>
                    <a:pt x="10" y="65"/>
                  </a:lnTo>
                  <a:lnTo>
                    <a:pt x="9" y="65"/>
                  </a:lnTo>
                  <a:lnTo>
                    <a:pt x="6" y="63"/>
                  </a:lnTo>
                  <a:lnTo>
                    <a:pt x="2" y="61"/>
                  </a:lnTo>
                  <a:lnTo>
                    <a:pt x="0" y="59"/>
                  </a:lnTo>
                  <a:lnTo>
                    <a:pt x="0" y="58"/>
                  </a:lnTo>
                  <a:lnTo>
                    <a:pt x="0" y="53"/>
                  </a:lnTo>
                  <a:lnTo>
                    <a:pt x="0" y="49"/>
                  </a:lnTo>
                  <a:lnTo>
                    <a:pt x="0" y="46"/>
                  </a:lnTo>
                  <a:lnTo>
                    <a:pt x="0" y="41"/>
                  </a:lnTo>
                  <a:lnTo>
                    <a:pt x="2" y="36"/>
                  </a:lnTo>
                  <a:lnTo>
                    <a:pt x="2" y="32"/>
                  </a:lnTo>
                  <a:lnTo>
                    <a:pt x="4" y="25"/>
                  </a:lnTo>
                  <a:lnTo>
                    <a:pt x="7" y="16"/>
                  </a:lnTo>
                  <a:lnTo>
                    <a:pt x="8" y="11"/>
                  </a:lnTo>
                  <a:lnTo>
                    <a:pt x="10" y="8"/>
                  </a:lnTo>
                  <a:lnTo>
                    <a:pt x="12" y="5"/>
                  </a:lnTo>
                  <a:lnTo>
                    <a:pt x="13" y="4"/>
                  </a:lnTo>
                  <a:lnTo>
                    <a:pt x="16" y="2"/>
                  </a:lnTo>
                  <a:lnTo>
                    <a:pt x="19" y="0"/>
                  </a:lnTo>
                  <a:lnTo>
                    <a:pt x="22" y="0"/>
                  </a:lnTo>
                  <a:lnTo>
                    <a:pt x="24" y="0"/>
                  </a:lnTo>
                  <a:lnTo>
                    <a:pt x="28" y="1"/>
                  </a:lnTo>
                  <a:lnTo>
                    <a:pt x="32" y="2"/>
                  </a:lnTo>
                  <a:lnTo>
                    <a:pt x="36" y="3"/>
                  </a:lnTo>
                  <a:lnTo>
                    <a:pt x="40" y="4"/>
                  </a:lnTo>
                  <a:lnTo>
                    <a:pt x="42" y="9"/>
                  </a:lnTo>
                  <a:close/>
                </a:path>
              </a:pathLst>
            </a:custGeom>
            <a:solidFill>
              <a:schemeClr val="bg1">
                <a:lumMod val="5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72" name="Freeform 56">
              <a:extLst>
                <a:ext uri="{FF2B5EF4-FFF2-40B4-BE49-F238E27FC236}">
                  <a16:creationId xmlns:a16="http://schemas.microsoft.com/office/drawing/2014/main" id="{00000000-0008-0000-0900-0000447E1200}"/>
                </a:ext>
              </a:extLst>
            </xdr:cNvPr>
            <xdr:cNvSpPr>
              <a:spLocks noChangeAspect="1"/>
            </xdr:cNvSpPr>
          </xdr:nvSpPr>
          <xdr:spPr bwMode="auto">
            <a:xfrm rot="238154">
              <a:off x="196" y="3416"/>
              <a:ext cx="46" cy="36"/>
            </a:xfrm>
            <a:custGeom>
              <a:avLst/>
              <a:gdLst>
                <a:gd name="T0" fmla="*/ 301 w 37"/>
                <a:gd name="T1" fmla="*/ 208 h 28"/>
                <a:gd name="T2" fmla="*/ 322 w 37"/>
                <a:gd name="T3" fmla="*/ 109 h 28"/>
                <a:gd name="T4" fmla="*/ 324 w 37"/>
                <a:gd name="T5" fmla="*/ 46 h 28"/>
                <a:gd name="T6" fmla="*/ 316 w 37"/>
                <a:gd name="T7" fmla="*/ 36 h 28"/>
                <a:gd name="T8" fmla="*/ 287 w 37"/>
                <a:gd name="T9" fmla="*/ 28 h 28"/>
                <a:gd name="T10" fmla="*/ 254 w 37"/>
                <a:gd name="T11" fmla="*/ 46 h 28"/>
                <a:gd name="T12" fmla="*/ 229 w 37"/>
                <a:gd name="T13" fmla="*/ 0 h 28"/>
                <a:gd name="T14" fmla="*/ 184 w 37"/>
                <a:gd name="T15" fmla="*/ 0 h 28"/>
                <a:gd name="T16" fmla="*/ 136 w 37"/>
                <a:gd name="T17" fmla="*/ 1 h 28"/>
                <a:gd name="T18" fmla="*/ 88 w 37"/>
                <a:gd name="T19" fmla="*/ 76 h 28"/>
                <a:gd name="T20" fmla="*/ 50 w 37"/>
                <a:gd name="T21" fmla="*/ 98 h 28"/>
                <a:gd name="T22" fmla="*/ 2 w 37"/>
                <a:gd name="T23" fmla="*/ 109 h 28"/>
                <a:gd name="T24" fmla="*/ 0 w 37"/>
                <a:gd name="T25" fmla="*/ 203 h 28"/>
                <a:gd name="T26" fmla="*/ 2 w 37"/>
                <a:gd name="T27" fmla="*/ 231 h 28"/>
                <a:gd name="T28" fmla="*/ 32 w 37"/>
                <a:gd name="T29" fmla="*/ 288 h 28"/>
                <a:gd name="T30" fmla="*/ 40 w 37"/>
                <a:gd name="T31" fmla="*/ 306 h 28"/>
                <a:gd name="T32" fmla="*/ 62 w 37"/>
                <a:gd name="T33" fmla="*/ 336 h 28"/>
                <a:gd name="T34" fmla="*/ 77 w 37"/>
                <a:gd name="T35" fmla="*/ 336 h 28"/>
                <a:gd name="T36" fmla="*/ 119 w 37"/>
                <a:gd name="T37" fmla="*/ 336 h 28"/>
                <a:gd name="T38" fmla="*/ 169 w 37"/>
                <a:gd name="T39" fmla="*/ 312 h 28"/>
                <a:gd name="T40" fmla="*/ 223 w 37"/>
                <a:gd name="T41" fmla="*/ 343 h 28"/>
                <a:gd name="T42" fmla="*/ 254 w 37"/>
                <a:gd name="T43" fmla="*/ 336 h 28"/>
                <a:gd name="T44" fmla="*/ 285 w 37"/>
                <a:gd name="T45" fmla="*/ 306 h 28"/>
                <a:gd name="T46" fmla="*/ 287 w 37"/>
                <a:gd name="T47" fmla="*/ 243 h 28"/>
                <a:gd name="T48" fmla="*/ 301 w 37"/>
                <a:gd name="T49" fmla="*/ 208 h 28"/>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Lst>
              <a:ahLst/>
              <a:cxnLst>
                <a:cxn ang="T50">
                  <a:pos x="T0" y="T1"/>
                </a:cxn>
                <a:cxn ang="T51">
                  <a:pos x="T2" y="T3"/>
                </a:cxn>
                <a:cxn ang="T52">
                  <a:pos x="T4" y="T5"/>
                </a:cxn>
                <a:cxn ang="T53">
                  <a:pos x="T6" y="T7"/>
                </a:cxn>
                <a:cxn ang="T54">
                  <a:pos x="T8" y="T9"/>
                </a:cxn>
                <a:cxn ang="T55">
                  <a:pos x="T10" y="T11"/>
                </a:cxn>
                <a:cxn ang="T56">
                  <a:pos x="T12" y="T13"/>
                </a:cxn>
                <a:cxn ang="T57">
                  <a:pos x="T14" y="T15"/>
                </a:cxn>
                <a:cxn ang="T58">
                  <a:pos x="T16" y="T17"/>
                </a:cxn>
                <a:cxn ang="T59">
                  <a:pos x="T18" y="T19"/>
                </a:cxn>
                <a:cxn ang="T60">
                  <a:pos x="T20" y="T21"/>
                </a:cxn>
                <a:cxn ang="T61">
                  <a:pos x="T22" y="T23"/>
                </a:cxn>
                <a:cxn ang="T62">
                  <a:pos x="T24" y="T25"/>
                </a:cxn>
                <a:cxn ang="T63">
                  <a:pos x="T26" y="T27"/>
                </a:cxn>
                <a:cxn ang="T64">
                  <a:pos x="T28" y="T29"/>
                </a:cxn>
                <a:cxn ang="T65">
                  <a:pos x="T30" y="T31"/>
                </a:cxn>
                <a:cxn ang="T66">
                  <a:pos x="T32" y="T33"/>
                </a:cxn>
                <a:cxn ang="T67">
                  <a:pos x="T34" y="T35"/>
                </a:cxn>
                <a:cxn ang="T68">
                  <a:pos x="T36" y="T37"/>
                </a:cxn>
                <a:cxn ang="T69">
                  <a:pos x="T38" y="T39"/>
                </a:cxn>
                <a:cxn ang="T70">
                  <a:pos x="T40" y="T41"/>
                </a:cxn>
                <a:cxn ang="T71">
                  <a:pos x="T42" y="T43"/>
                </a:cxn>
                <a:cxn ang="T72">
                  <a:pos x="T44" y="T45"/>
                </a:cxn>
                <a:cxn ang="T73">
                  <a:pos x="T46" y="T47"/>
                </a:cxn>
                <a:cxn ang="T74">
                  <a:pos x="T48" y="T49"/>
                </a:cxn>
              </a:cxnLst>
              <a:rect l="0" t="0" r="r" b="b"/>
              <a:pathLst>
                <a:path w="37" h="28">
                  <a:moveTo>
                    <a:pt x="34" y="17"/>
                  </a:moveTo>
                  <a:lnTo>
                    <a:pt x="36" y="9"/>
                  </a:lnTo>
                  <a:lnTo>
                    <a:pt x="37" y="4"/>
                  </a:lnTo>
                  <a:lnTo>
                    <a:pt x="35" y="3"/>
                  </a:lnTo>
                  <a:lnTo>
                    <a:pt x="33" y="2"/>
                  </a:lnTo>
                  <a:lnTo>
                    <a:pt x="28" y="4"/>
                  </a:lnTo>
                  <a:lnTo>
                    <a:pt x="26" y="0"/>
                  </a:lnTo>
                  <a:lnTo>
                    <a:pt x="21" y="0"/>
                  </a:lnTo>
                  <a:lnTo>
                    <a:pt x="15" y="1"/>
                  </a:lnTo>
                  <a:lnTo>
                    <a:pt x="10" y="6"/>
                  </a:lnTo>
                  <a:lnTo>
                    <a:pt x="6" y="8"/>
                  </a:lnTo>
                  <a:lnTo>
                    <a:pt x="2" y="9"/>
                  </a:lnTo>
                  <a:lnTo>
                    <a:pt x="0" y="16"/>
                  </a:lnTo>
                  <a:lnTo>
                    <a:pt x="2" y="19"/>
                  </a:lnTo>
                  <a:lnTo>
                    <a:pt x="4" y="23"/>
                  </a:lnTo>
                  <a:lnTo>
                    <a:pt x="5" y="25"/>
                  </a:lnTo>
                  <a:lnTo>
                    <a:pt x="7" y="27"/>
                  </a:lnTo>
                  <a:lnTo>
                    <a:pt x="9" y="27"/>
                  </a:lnTo>
                  <a:lnTo>
                    <a:pt x="14" y="27"/>
                  </a:lnTo>
                  <a:lnTo>
                    <a:pt x="19" y="26"/>
                  </a:lnTo>
                  <a:lnTo>
                    <a:pt x="25" y="28"/>
                  </a:lnTo>
                  <a:lnTo>
                    <a:pt x="28" y="27"/>
                  </a:lnTo>
                  <a:lnTo>
                    <a:pt x="32" y="25"/>
                  </a:lnTo>
                  <a:lnTo>
                    <a:pt x="33" y="20"/>
                  </a:lnTo>
                  <a:lnTo>
                    <a:pt x="34" y="17"/>
                  </a:lnTo>
                  <a:close/>
                </a:path>
              </a:pathLst>
            </a:custGeom>
            <a:solidFill>
              <a:schemeClr val="bg1">
                <a:lumMod val="5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73" name="Freeform 57">
              <a:extLst>
                <a:ext uri="{FF2B5EF4-FFF2-40B4-BE49-F238E27FC236}">
                  <a16:creationId xmlns:a16="http://schemas.microsoft.com/office/drawing/2014/main" id="{00000000-0008-0000-0900-0000457E1200}"/>
                </a:ext>
              </a:extLst>
            </xdr:cNvPr>
            <xdr:cNvSpPr>
              <a:spLocks noChangeAspect="1"/>
            </xdr:cNvSpPr>
          </xdr:nvSpPr>
          <xdr:spPr bwMode="auto">
            <a:xfrm rot="238154">
              <a:off x="270" y="3379"/>
              <a:ext cx="233" cy="308"/>
            </a:xfrm>
            <a:custGeom>
              <a:avLst/>
              <a:gdLst>
                <a:gd name="T0" fmla="*/ 540 w 188"/>
                <a:gd name="T1" fmla="*/ 1886 h 249"/>
                <a:gd name="T2" fmla="*/ 564 w 188"/>
                <a:gd name="T3" fmla="*/ 1781 h 249"/>
                <a:gd name="T4" fmla="*/ 540 w 188"/>
                <a:gd name="T5" fmla="*/ 1660 h 249"/>
                <a:gd name="T6" fmla="*/ 455 w 188"/>
                <a:gd name="T7" fmla="*/ 1628 h 249"/>
                <a:gd name="T8" fmla="*/ 395 w 188"/>
                <a:gd name="T9" fmla="*/ 1633 h 249"/>
                <a:gd name="T10" fmla="*/ 354 w 188"/>
                <a:gd name="T11" fmla="*/ 1518 h 249"/>
                <a:gd name="T12" fmla="*/ 314 w 188"/>
                <a:gd name="T13" fmla="*/ 1425 h 249"/>
                <a:gd name="T14" fmla="*/ 209 w 188"/>
                <a:gd name="T15" fmla="*/ 1342 h 249"/>
                <a:gd name="T16" fmla="*/ 224 w 188"/>
                <a:gd name="T17" fmla="*/ 1268 h 249"/>
                <a:gd name="T18" fmla="*/ 207 w 188"/>
                <a:gd name="T19" fmla="*/ 1199 h 249"/>
                <a:gd name="T20" fmla="*/ 136 w 188"/>
                <a:gd name="T21" fmla="*/ 1161 h 249"/>
                <a:gd name="T22" fmla="*/ 88 w 188"/>
                <a:gd name="T23" fmla="*/ 1086 h 249"/>
                <a:gd name="T24" fmla="*/ 0 w 188"/>
                <a:gd name="T25" fmla="*/ 1016 h 249"/>
                <a:gd name="T26" fmla="*/ 71 w 188"/>
                <a:gd name="T27" fmla="*/ 951 h 249"/>
                <a:gd name="T28" fmla="*/ 185 w 188"/>
                <a:gd name="T29" fmla="*/ 992 h 249"/>
                <a:gd name="T30" fmla="*/ 278 w 188"/>
                <a:gd name="T31" fmla="*/ 967 h 249"/>
                <a:gd name="T32" fmla="*/ 354 w 188"/>
                <a:gd name="T33" fmla="*/ 951 h 249"/>
                <a:gd name="T34" fmla="*/ 424 w 188"/>
                <a:gd name="T35" fmla="*/ 928 h 249"/>
                <a:gd name="T36" fmla="*/ 482 w 188"/>
                <a:gd name="T37" fmla="*/ 887 h 249"/>
                <a:gd name="T38" fmla="*/ 467 w 188"/>
                <a:gd name="T39" fmla="*/ 802 h 249"/>
                <a:gd name="T40" fmla="*/ 525 w 188"/>
                <a:gd name="T41" fmla="*/ 735 h 249"/>
                <a:gd name="T42" fmla="*/ 540 w 188"/>
                <a:gd name="T43" fmla="*/ 664 h 249"/>
                <a:gd name="T44" fmla="*/ 512 w 188"/>
                <a:gd name="T45" fmla="*/ 574 h 249"/>
                <a:gd name="T46" fmla="*/ 502 w 188"/>
                <a:gd name="T47" fmla="*/ 454 h 249"/>
                <a:gd name="T48" fmla="*/ 540 w 188"/>
                <a:gd name="T49" fmla="*/ 362 h 249"/>
                <a:gd name="T50" fmla="*/ 622 w 188"/>
                <a:gd name="T51" fmla="*/ 318 h 249"/>
                <a:gd name="T52" fmla="*/ 674 w 188"/>
                <a:gd name="T53" fmla="*/ 218 h 249"/>
                <a:gd name="T54" fmla="*/ 724 w 188"/>
                <a:gd name="T55" fmla="*/ 192 h 249"/>
                <a:gd name="T56" fmla="*/ 807 w 188"/>
                <a:gd name="T57" fmla="*/ 115 h 249"/>
                <a:gd name="T58" fmla="*/ 845 w 188"/>
                <a:gd name="T59" fmla="*/ 2 h 249"/>
                <a:gd name="T60" fmla="*/ 925 w 188"/>
                <a:gd name="T61" fmla="*/ 0 h 249"/>
                <a:gd name="T62" fmla="*/ 1015 w 188"/>
                <a:gd name="T63" fmla="*/ 71 h 249"/>
                <a:gd name="T64" fmla="*/ 1087 w 188"/>
                <a:gd name="T65" fmla="*/ 49 h 249"/>
                <a:gd name="T66" fmla="*/ 1146 w 188"/>
                <a:gd name="T67" fmla="*/ 75 h 249"/>
                <a:gd name="T68" fmla="*/ 1201 w 188"/>
                <a:gd name="T69" fmla="*/ 176 h 249"/>
                <a:gd name="T70" fmla="*/ 1259 w 188"/>
                <a:gd name="T71" fmla="*/ 167 h 249"/>
                <a:gd name="T72" fmla="*/ 1358 w 188"/>
                <a:gd name="T73" fmla="*/ 142 h 249"/>
                <a:gd name="T74" fmla="*/ 1431 w 188"/>
                <a:gd name="T75" fmla="*/ 88 h 249"/>
                <a:gd name="T76" fmla="*/ 1527 w 188"/>
                <a:gd name="T77" fmla="*/ 93 h 249"/>
                <a:gd name="T78" fmla="*/ 1578 w 188"/>
                <a:gd name="T79" fmla="*/ 142 h 249"/>
                <a:gd name="T80" fmla="*/ 1609 w 188"/>
                <a:gd name="T81" fmla="*/ 237 h 249"/>
                <a:gd name="T82" fmla="*/ 1502 w 188"/>
                <a:gd name="T83" fmla="*/ 334 h 249"/>
                <a:gd name="T84" fmla="*/ 1273 w 188"/>
                <a:gd name="T85" fmla="*/ 695 h 249"/>
                <a:gd name="T86" fmla="*/ 1035 w 188"/>
                <a:gd name="T87" fmla="*/ 1164 h 249"/>
                <a:gd name="T88" fmla="*/ 956 w 188"/>
                <a:gd name="T89" fmla="*/ 1512 h 249"/>
                <a:gd name="T90" fmla="*/ 866 w 188"/>
                <a:gd name="T91" fmla="*/ 1800 h 249"/>
                <a:gd name="T92" fmla="*/ 793 w 188"/>
                <a:gd name="T93" fmla="*/ 1980 h 249"/>
                <a:gd name="T94" fmla="*/ 622 w 188"/>
                <a:gd name="T95" fmla="*/ 2058 h 249"/>
                <a:gd name="T96" fmla="*/ 512 w 188"/>
                <a:gd name="T97" fmla="*/ 1940 h 249"/>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0" t="0" r="r" b="b"/>
              <a:pathLst>
                <a:path w="188" h="249">
                  <a:moveTo>
                    <a:pt x="60" y="231"/>
                  </a:moveTo>
                  <a:lnTo>
                    <a:pt x="62" y="228"/>
                  </a:lnTo>
                  <a:lnTo>
                    <a:pt x="63" y="225"/>
                  </a:lnTo>
                  <a:lnTo>
                    <a:pt x="66" y="220"/>
                  </a:lnTo>
                  <a:lnTo>
                    <a:pt x="66" y="217"/>
                  </a:lnTo>
                  <a:lnTo>
                    <a:pt x="66" y="213"/>
                  </a:lnTo>
                  <a:lnTo>
                    <a:pt x="66" y="204"/>
                  </a:lnTo>
                  <a:lnTo>
                    <a:pt x="65" y="199"/>
                  </a:lnTo>
                  <a:lnTo>
                    <a:pt x="63" y="197"/>
                  </a:lnTo>
                  <a:lnTo>
                    <a:pt x="60" y="197"/>
                  </a:lnTo>
                  <a:lnTo>
                    <a:pt x="56" y="195"/>
                  </a:lnTo>
                  <a:lnTo>
                    <a:pt x="53" y="194"/>
                  </a:lnTo>
                  <a:lnTo>
                    <a:pt x="50" y="194"/>
                  </a:lnTo>
                  <a:lnTo>
                    <a:pt x="48" y="194"/>
                  </a:lnTo>
                  <a:lnTo>
                    <a:pt x="46" y="195"/>
                  </a:lnTo>
                  <a:lnTo>
                    <a:pt x="43" y="189"/>
                  </a:lnTo>
                  <a:lnTo>
                    <a:pt x="43" y="186"/>
                  </a:lnTo>
                  <a:lnTo>
                    <a:pt x="42" y="181"/>
                  </a:lnTo>
                  <a:lnTo>
                    <a:pt x="41" y="177"/>
                  </a:lnTo>
                  <a:lnTo>
                    <a:pt x="40" y="175"/>
                  </a:lnTo>
                  <a:lnTo>
                    <a:pt x="36" y="170"/>
                  </a:lnTo>
                  <a:lnTo>
                    <a:pt x="29" y="164"/>
                  </a:lnTo>
                  <a:lnTo>
                    <a:pt x="26" y="161"/>
                  </a:lnTo>
                  <a:lnTo>
                    <a:pt x="25" y="159"/>
                  </a:lnTo>
                  <a:lnTo>
                    <a:pt x="25" y="156"/>
                  </a:lnTo>
                  <a:lnTo>
                    <a:pt x="26" y="154"/>
                  </a:lnTo>
                  <a:lnTo>
                    <a:pt x="26" y="151"/>
                  </a:lnTo>
                  <a:lnTo>
                    <a:pt x="27" y="149"/>
                  </a:lnTo>
                  <a:lnTo>
                    <a:pt x="26" y="147"/>
                  </a:lnTo>
                  <a:lnTo>
                    <a:pt x="24" y="143"/>
                  </a:lnTo>
                  <a:lnTo>
                    <a:pt x="22" y="141"/>
                  </a:lnTo>
                  <a:lnTo>
                    <a:pt x="20" y="140"/>
                  </a:lnTo>
                  <a:lnTo>
                    <a:pt x="16" y="138"/>
                  </a:lnTo>
                  <a:lnTo>
                    <a:pt x="14" y="136"/>
                  </a:lnTo>
                  <a:lnTo>
                    <a:pt x="12" y="132"/>
                  </a:lnTo>
                  <a:lnTo>
                    <a:pt x="10" y="129"/>
                  </a:lnTo>
                  <a:lnTo>
                    <a:pt x="7" y="126"/>
                  </a:lnTo>
                  <a:lnTo>
                    <a:pt x="2" y="123"/>
                  </a:lnTo>
                  <a:lnTo>
                    <a:pt x="0" y="121"/>
                  </a:lnTo>
                  <a:lnTo>
                    <a:pt x="0" y="118"/>
                  </a:lnTo>
                  <a:lnTo>
                    <a:pt x="1" y="113"/>
                  </a:lnTo>
                  <a:lnTo>
                    <a:pt x="8" y="114"/>
                  </a:lnTo>
                  <a:lnTo>
                    <a:pt x="13" y="115"/>
                  </a:lnTo>
                  <a:lnTo>
                    <a:pt x="18" y="118"/>
                  </a:lnTo>
                  <a:lnTo>
                    <a:pt x="22" y="118"/>
                  </a:lnTo>
                  <a:lnTo>
                    <a:pt x="24" y="117"/>
                  </a:lnTo>
                  <a:lnTo>
                    <a:pt x="29" y="116"/>
                  </a:lnTo>
                  <a:lnTo>
                    <a:pt x="32" y="115"/>
                  </a:lnTo>
                  <a:lnTo>
                    <a:pt x="35" y="116"/>
                  </a:lnTo>
                  <a:lnTo>
                    <a:pt x="40" y="115"/>
                  </a:lnTo>
                  <a:lnTo>
                    <a:pt x="42" y="114"/>
                  </a:lnTo>
                  <a:lnTo>
                    <a:pt x="44" y="112"/>
                  </a:lnTo>
                  <a:lnTo>
                    <a:pt x="46" y="111"/>
                  </a:lnTo>
                  <a:lnTo>
                    <a:pt x="49" y="111"/>
                  </a:lnTo>
                  <a:lnTo>
                    <a:pt x="52" y="111"/>
                  </a:lnTo>
                  <a:lnTo>
                    <a:pt x="55" y="109"/>
                  </a:lnTo>
                  <a:lnTo>
                    <a:pt x="56" y="106"/>
                  </a:lnTo>
                  <a:lnTo>
                    <a:pt x="57" y="102"/>
                  </a:lnTo>
                  <a:lnTo>
                    <a:pt x="55" y="98"/>
                  </a:lnTo>
                  <a:lnTo>
                    <a:pt x="55" y="95"/>
                  </a:lnTo>
                  <a:lnTo>
                    <a:pt x="56" y="92"/>
                  </a:lnTo>
                  <a:lnTo>
                    <a:pt x="58" y="90"/>
                  </a:lnTo>
                  <a:lnTo>
                    <a:pt x="61" y="87"/>
                  </a:lnTo>
                  <a:lnTo>
                    <a:pt x="62" y="85"/>
                  </a:lnTo>
                  <a:lnTo>
                    <a:pt x="63" y="83"/>
                  </a:lnTo>
                  <a:lnTo>
                    <a:pt x="63" y="79"/>
                  </a:lnTo>
                  <a:lnTo>
                    <a:pt x="63" y="75"/>
                  </a:lnTo>
                  <a:lnTo>
                    <a:pt x="62" y="71"/>
                  </a:lnTo>
                  <a:lnTo>
                    <a:pt x="60" y="68"/>
                  </a:lnTo>
                  <a:lnTo>
                    <a:pt x="59" y="62"/>
                  </a:lnTo>
                  <a:lnTo>
                    <a:pt x="59" y="59"/>
                  </a:lnTo>
                  <a:lnTo>
                    <a:pt x="59" y="54"/>
                  </a:lnTo>
                  <a:lnTo>
                    <a:pt x="60" y="50"/>
                  </a:lnTo>
                  <a:lnTo>
                    <a:pt x="62" y="46"/>
                  </a:lnTo>
                  <a:lnTo>
                    <a:pt x="63" y="43"/>
                  </a:lnTo>
                  <a:lnTo>
                    <a:pt x="66" y="40"/>
                  </a:lnTo>
                  <a:lnTo>
                    <a:pt x="70" y="38"/>
                  </a:lnTo>
                  <a:lnTo>
                    <a:pt x="73" y="38"/>
                  </a:lnTo>
                  <a:lnTo>
                    <a:pt x="75" y="37"/>
                  </a:lnTo>
                  <a:lnTo>
                    <a:pt x="77" y="35"/>
                  </a:lnTo>
                  <a:lnTo>
                    <a:pt x="79" y="26"/>
                  </a:lnTo>
                  <a:lnTo>
                    <a:pt x="81" y="24"/>
                  </a:lnTo>
                  <a:lnTo>
                    <a:pt x="84" y="24"/>
                  </a:lnTo>
                  <a:lnTo>
                    <a:pt x="85" y="23"/>
                  </a:lnTo>
                  <a:lnTo>
                    <a:pt x="87" y="20"/>
                  </a:lnTo>
                  <a:lnTo>
                    <a:pt x="89" y="17"/>
                  </a:lnTo>
                  <a:lnTo>
                    <a:pt x="94" y="14"/>
                  </a:lnTo>
                  <a:lnTo>
                    <a:pt x="95" y="11"/>
                  </a:lnTo>
                  <a:lnTo>
                    <a:pt x="97" y="7"/>
                  </a:lnTo>
                  <a:lnTo>
                    <a:pt x="99" y="2"/>
                  </a:lnTo>
                  <a:lnTo>
                    <a:pt x="102" y="1"/>
                  </a:lnTo>
                  <a:lnTo>
                    <a:pt x="105" y="0"/>
                  </a:lnTo>
                  <a:lnTo>
                    <a:pt x="108" y="0"/>
                  </a:lnTo>
                  <a:lnTo>
                    <a:pt x="112" y="2"/>
                  </a:lnTo>
                  <a:lnTo>
                    <a:pt x="115" y="4"/>
                  </a:lnTo>
                  <a:lnTo>
                    <a:pt x="119" y="8"/>
                  </a:lnTo>
                  <a:lnTo>
                    <a:pt x="121" y="8"/>
                  </a:lnTo>
                  <a:lnTo>
                    <a:pt x="125" y="8"/>
                  </a:lnTo>
                  <a:lnTo>
                    <a:pt x="127" y="6"/>
                  </a:lnTo>
                  <a:lnTo>
                    <a:pt x="131" y="6"/>
                  </a:lnTo>
                  <a:lnTo>
                    <a:pt x="134" y="6"/>
                  </a:lnTo>
                  <a:lnTo>
                    <a:pt x="134" y="9"/>
                  </a:lnTo>
                  <a:lnTo>
                    <a:pt x="136" y="17"/>
                  </a:lnTo>
                  <a:lnTo>
                    <a:pt x="138" y="19"/>
                  </a:lnTo>
                  <a:lnTo>
                    <a:pt x="140" y="21"/>
                  </a:lnTo>
                  <a:lnTo>
                    <a:pt x="143" y="21"/>
                  </a:lnTo>
                  <a:lnTo>
                    <a:pt x="146" y="21"/>
                  </a:lnTo>
                  <a:lnTo>
                    <a:pt x="148" y="19"/>
                  </a:lnTo>
                  <a:lnTo>
                    <a:pt x="148" y="17"/>
                  </a:lnTo>
                  <a:lnTo>
                    <a:pt x="157" y="19"/>
                  </a:lnTo>
                  <a:lnTo>
                    <a:pt x="159" y="17"/>
                  </a:lnTo>
                  <a:lnTo>
                    <a:pt x="164" y="15"/>
                  </a:lnTo>
                  <a:lnTo>
                    <a:pt x="165" y="13"/>
                  </a:lnTo>
                  <a:lnTo>
                    <a:pt x="167" y="10"/>
                  </a:lnTo>
                  <a:lnTo>
                    <a:pt x="168" y="8"/>
                  </a:lnTo>
                  <a:lnTo>
                    <a:pt x="174" y="10"/>
                  </a:lnTo>
                  <a:lnTo>
                    <a:pt x="178" y="11"/>
                  </a:lnTo>
                  <a:lnTo>
                    <a:pt x="183" y="13"/>
                  </a:lnTo>
                  <a:lnTo>
                    <a:pt x="185" y="15"/>
                  </a:lnTo>
                  <a:lnTo>
                    <a:pt x="185" y="17"/>
                  </a:lnTo>
                  <a:lnTo>
                    <a:pt x="186" y="22"/>
                  </a:lnTo>
                  <a:lnTo>
                    <a:pt x="186" y="25"/>
                  </a:lnTo>
                  <a:lnTo>
                    <a:pt x="188" y="28"/>
                  </a:lnTo>
                  <a:lnTo>
                    <a:pt x="188" y="29"/>
                  </a:lnTo>
                  <a:lnTo>
                    <a:pt x="185" y="34"/>
                  </a:lnTo>
                  <a:lnTo>
                    <a:pt x="176" y="40"/>
                  </a:lnTo>
                  <a:lnTo>
                    <a:pt x="170" y="47"/>
                  </a:lnTo>
                  <a:lnTo>
                    <a:pt x="161" y="62"/>
                  </a:lnTo>
                  <a:lnTo>
                    <a:pt x="149" y="83"/>
                  </a:lnTo>
                  <a:lnTo>
                    <a:pt x="138" y="107"/>
                  </a:lnTo>
                  <a:lnTo>
                    <a:pt x="127" y="132"/>
                  </a:lnTo>
                  <a:lnTo>
                    <a:pt x="121" y="139"/>
                  </a:lnTo>
                  <a:lnTo>
                    <a:pt x="109" y="171"/>
                  </a:lnTo>
                  <a:lnTo>
                    <a:pt x="110" y="175"/>
                  </a:lnTo>
                  <a:lnTo>
                    <a:pt x="112" y="180"/>
                  </a:lnTo>
                  <a:lnTo>
                    <a:pt x="114" y="185"/>
                  </a:lnTo>
                  <a:lnTo>
                    <a:pt x="108" y="202"/>
                  </a:lnTo>
                  <a:lnTo>
                    <a:pt x="102" y="215"/>
                  </a:lnTo>
                  <a:lnTo>
                    <a:pt x="99" y="221"/>
                  </a:lnTo>
                  <a:lnTo>
                    <a:pt x="98" y="225"/>
                  </a:lnTo>
                  <a:lnTo>
                    <a:pt x="93" y="236"/>
                  </a:lnTo>
                  <a:lnTo>
                    <a:pt x="84" y="248"/>
                  </a:lnTo>
                  <a:lnTo>
                    <a:pt x="79" y="249"/>
                  </a:lnTo>
                  <a:lnTo>
                    <a:pt x="73" y="246"/>
                  </a:lnTo>
                  <a:lnTo>
                    <a:pt x="68" y="239"/>
                  </a:lnTo>
                  <a:lnTo>
                    <a:pt x="63" y="232"/>
                  </a:lnTo>
                  <a:lnTo>
                    <a:pt x="60" y="231"/>
                  </a:lnTo>
                  <a:close/>
                </a:path>
              </a:pathLst>
            </a:custGeom>
            <a:solidFill>
              <a:schemeClr val="bg1">
                <a:lumMod val="5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74" name="Freeform 58">
              <a:extLst>
                <a:ext uri="{FF2B5EF4-FFF2-40B4-BE49-F238E27FC236}">
                  <a16:creationId xmlns:a16="http://schemas.microsoft.com/office/drawing/2014/main" id="{00000000-0008-0000-0900-0000467E1200}"/>
                </a:ext>
              </a:extLst>
            </xdr:cNvPr>
            <xdr:cNvSpPr>
              <a:spLocks noChangeAspect="1"/>
            </xdr:cNvSpPr>
          </xdr:nvSpPr>
          <xdr:spPr bwMode="auto">
            <a:xfrm rot="238154">
              <a:off x="140" y="3491"/>
              <a:ext cx="206" cy="241"/>
            </a:xfrm>
            <a:custGeom>
              <a:avLst/>
              <a:gdLst>
                <a:gd name="T0" fmla="*/ 1408 w 166"/>
                <a:gd name="T1" fmla="*/ 1003 h 196"/>
                <a:gd name="T2" fmla="*/ 1443 w 166"/>
                <a:gd name="T3" fmla="*/ 906 h 196"/>
                <a:gd name="T4" fmla="*/ 1408 w 166"/>
                <a:gd name="T5" fmla="*/ 783 h 196"/>
                <a:gd name="T6" fmla="*/ 1330 w 166"/>
                <a:gd name="T7" fmla="*/ 756 h 196"/>
                <a:gd name="T8" fmla="*/ 1261 w 166"/>
                <a:gd name="T9" fmla="*/ 764 h 196"/>
                <a:gd name="T10" fmla="*/ 1227 w 166"/>
                <a:gd name="T11" fmla="*/ 650 h 196"/>
                <a:gd name="T12" fmla="*/ 1183 w 166"/>
                <a:gd name="T13" fmla="*/ 571 h 196"/>
                <a:gd name="T14" fmla="*/ 1076 w 166"/>
                <a:gd name="T15" fmla="*/ 480 h 196"/>
                <a:gd name="T16" fmla="*/ 1092 w 166"/>
                <a:gd name="T17" fmla="*/ 419 h 196"/>
                <a:gd name="T18" fmla="*/ 1073 w 166"/>
                <a:gd name="T19" fmla="*/ 357 h 196"/>
                <a:gd name="T20" fmla="*/ 1004 w 166"/>
                <a:gd name="T21" fmla="*/ 316 h 196"/>
                <a:gd name="T22" fmla="*/ 954 w 166"/>
                <a:gd name="T23" fmla="*/ 245 h 196"/>
                <a:gd name="T24" fmla="*/ 865 w 166"/>
                <a:gd name="T25" fmla="*/ 180 h 196"/>
                <a:gd name="T26" fmla="*/ 848 w 166"/>
                <a:gd name="T27" fmla="*/ 90 h 196"/>
                <a:gd name="T28" fmla="*/ 778 w 166"/>
                <a:gd name="T29" fmla="*/ 0 h 196"/>
                <a:gd name="T30" fmla="*/ 720 w 166"/>
                <a:gd name="T31" fmla="*/ 26 h 196"/>
                <a:gd name="T32" fmla="*/ 587 w 166"/>
                <a:gd name="T33" fmla="*/ 61 h 196"/>
                <a:gd name="T34" fmla="*/ 467 w 166"/>
                <a:gd name="T35" fmla="*/ 32 h 196"/>
                <a:gd name="T36" fmla="*/ 354 w 166"/>
                <a:gd name="T37" fmla="*/ 92 h 196"/>
                <a:gd name="T38" fmla="*/ 184 w 166"/>
                <a:gd name="T39" fmla="*/ 192 h 196"/>
                <a:gd name="T40" fmla="*/ 184 w 166"/>
                <a:gd name="T41" fmla="*/ 390 h 196"/>
                <a:gd name="T42" fmla="*/ 135 w 166"/>
                <a:gd name="T43" fmla="*/ 480 h 196"/>
                <a:gd name="T44" fmla="*/ 238 w 166"/>
                <a:gd name="T45" fmla="*/ 621 h 196"/>
                <a:gd name="T46" fmla="*/ 283 w 166"/>
                <a:gd name="T47" fmla="*/ 725 h 196"/>
                <a:gd name="T48" fmla="*/ 243 w 166"/>
                <a:gd name="T49" fmla="*/ 939 h 196"/>
                <a:gd name="T50" fmla="*/ 50 w 166"/>
                <a:gd name="T51" fmla="*/ 1025 h 196"/>
                <a:gd name="T52" fmla="*/ 50 w 166"/>
                <a:gd name="T53" fmla="*/ 1144 h 196"/>
                <a:gd name="T54" fmla="*/ 192 w 166"/>
                <a:gd name="T55" fmla="*/ 1233 h 196"/>
                <a:gd name="T56" fmla="*/ 403 w 166"/>
                <a:gd name="T57" fmla="*/ 1264 h 196"/>
                <a:gd name="T58" fmla="*/ 550 w 166"/>
                <a:gd name="T59" fmla="*/ 1370 h 196"/>
                <a:gd name="T60" fmla="*/ 683 w 166"/>
                <a:gd name="T61" fmla="*/ 1371 h 196"/>
                <a:gd name="T62" fmla="*/ 658 w 166"/>
                <a:gd name="T63" fmla="*/ 1205 h 196"/>
                <a:gd name="T64" fmla="*/ 563 w 166"/>
                <a:gd name="T65" fmla="*/ 1034 h 196"/>
                <a:gd name="T66" fmla="*/ 587 w 166"/>
                <a:gd name="T67" fmla="*/ 869 h 196"/>
                <a:gd name="T68" fmla="*/ 658 w 166"/>
                <a:gd name="T69" fmla="*/ 764 h 196"/>
                <a:gd name="T70" fmla="*/ 833 w 166"/>
                <a:gd name="T71" fmla="*/ 680 h 196"/>
                <a:gd name="T72" fmla="*/ 867 w 166"/>
                <a:gd name="T73" fmla="*/ 834 h 196"/>
                <a:gd name="T74" fmla="*/ 819 w 166"/>
                <a:gd name="T75" fmla="*/ 857 h 196"/>
                <a:gd name="T76" fmla="*/ 730 w 166"/>
                <a:gd name="T77" fmla="*/ 756 h 196"/>
                <a:gd name="T78" fmla="*/ 671 w 166"/>
                <a:gd name="T79" fmla="*/ 794 h 196"/>
                <a:gd name="T80" fmla="*/ 696 w 166"/>
                <a:gd name="T81" fmla="*/ 889 h 196"/>
                <a:gd name="T82" fmla="*/ 755 w 166"/>
                <a:gd name="T83" fmla="*/ 998 h 196"/>
                <a:gd name="T84" fmla="*/ 839 w 166"/>
                <a:gd name="T85" fmla="*/ 1252 h 196"/>
                <a:gd name="T86" fmla="*/ 790 w 166"/>
                <a:gd name="T87" fmla="*/ 1337 h 196"/>
                <a:gd name="T88" fmla="*/ 683 w 166"/>
                <a:gd name="T89" fmla="*/ 1457 h 196"/>
                <a:gd name="T90" fmla="*/ 648 w 166"/>
                <a:gd name="T91" fmla="*/ 1549 h 196"/>
                <a:gd name="T92" fmla="*/ 965 w 166"/>
                <a:gd name="T93" fmla="*/ 1480 h 196"/>
                <a:gd name="T94" fmla="*/ 1124 w 166"/>
                <a:gd name="T95" fmla="*/ 1351 h 196"/>
                <a:gd name="T96" fmla="*/ 1292 w 166"/>
                <a:gd name="T97" fmla="*/ 1312 h 196"/>
                <a:gd name="T98" fmla="*/ 1261 w 166"/>
                <a:gd name="T99" fmla="*/ 1177 h 196"/>
                <a:gd name="T100" fmla="*/ 1216 w 166"/>
                <a:gd name="T101" fmla="*/ 1093 h 196"/>
                <a:gd name="T102" fmla="*/ 1391 w 166"/>
                <a:gd name="T103" fmla="*/ 1054 h 19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0" t="0" r="r" b="b"/>
              <a:pathLst>
                <a:path w="166" h="196">
                  <a:moveTo>
                    <a:pt x="160" y="133"/>
                  </a:moveTo>
                  <a:lnTo>
                    <a:pt x="162" y="130"/>
                  </a:lnTo>
                  <a:lnTo>
                    <a:pt x="163" y="127"/>
                  </a:lnTo>
                  <a:lnTo>
                    <a:pt x="166" y="122"/>
                  </a:lnTo>
                  <a:lnTo>
                    <a:pt x="166" y="119"/>
                  </a:lnTo>
                  <a:lnTo>
                    <a:pt x="166" y="115"/>
                  </a:lnTo>
                  <a:lnTo>
                    <a:pt x="166" y="106"/>
                  </a:lnTo>
                  <a:lnTo>
                    <a:pt x="165" y="101"/>
                  </a:lnTo>
                  <a:lnTo>
                    <a:pt x="163" y="99"/>
                  </a:lnTo>
                  <a:lnTo>
                    <a:pt x="160" y="99"/>
                  </a:lnTo>
                  <a:lnTo>
                    <a:pt x="156" y="97"/>
                  </a:lnTo>
                  <a:lnTo>
                    <a:pt x="153" y="96"/>
                  </a:lnTo>
                  <a:lnTo>
                    <a:pt x="150" y="96"/>
                  </a:lnTo>
                  <a:lnTo>
                    <a:pt x="148" y="96"/>
                  </a:lnTo>
                  <a:lnTo>
                    <a:pt x="146" y="97"/>
                  </a:lnTo>
                  <a:lnTo>
                    <a:pt x="143" y="91"/>
                  </a:lnTo>
                  <a:lnTo>
                    <a:pt x="143" y="88"/>
                  </a:lnTo>
                  <a:lnTo>
                    <a:pt x="142" y="83"/>
                  </a:lnTo>
                  <a:lnTo>
                    <a:pt x="141" y="79"/>
                  </a:lnTo>
                  <a:lnTo>
                    <a:pt x="140" y="77"/>
                  </a:lnTo>
                  <a:lnTo>
                    <a:pt x="136" y="72"/>
                  </a:lnTo>
                  <a:lnTo>
                    <a:pt x="129" y="66"/>
                  </a:lnTo>
                  <a:lnTo>
                    <a:pt x="126" y="63"/>
                  </a:lnTo>
                  <a:lnTo>
                    <a:pt x="125" y="61"/>
                  </a:lnTo>
                  <a:lnTo>
                    <a:pt x="125" y="58"/>
                  </a:lnTo>
                  <a:lnTo>
                    <a:pt x="126" y="56"/>
                  </a:lnTo>
                  <a:lnTo>
                    <a:pt x="126" y="53"/>
                  </a:lnTo>
                  <a:lnTo>
                    <a:pt x="127" y="51"/>
                  </a:lnTo>
                  <a:lnTo>
                    <a:pt x="126" y="49"/>
                  </a:lnTo>
                  <a:lnTo>
                    <a:pt x="124" y="45"/>
                  </a:lnTo>
                  <a:lnTo>
                    <a:pt x="122" y="43"/>
                  </a:lnTo>
                  <a:lnTo>
                    <a:pt x="120" y="42"/>
                  </a:lnTo>
                  <a:lnTo>
                    <a:pt x="116" y="40"/>
                  </a:lnTo>
                  <a:lnTo>
                    <a:pt x="114" y="38"/>
                  </a:lnTo>
                  <a:lnTo>
                    <a:pt x="112" y="34"/>
                  </a:lnTo>
                  <a:lnTo>
                    <a:pt x="110" y="31"/>
                  </a:lnTo>
                  <a:lnTo>
                    <a:pt x="107" y="28"/>
                  </a:lnTo>
                  <a:lnTo>
                    <a:pt x="102" y="25"/>
                  </a:lnTo>
                  <a:lnTo>
                    <a:pt x="100" y="23"/>
                  </a:lnTo>
                  <a:lnTo>
                    <a:pt x="100" y="20"/>
                  </a:lnTo>
                  <a:lnTo>
                    <a:pt x="101" y="15"/>
                  </a:lnTo>
                  <a:lnTo>
                    <a:pt x="98" y="11"/>
                  </a:lnTo>
                  <a:lnTo>
                    <a:pt x="95" y="8"/>
                  </a:lnTo>
                  <a:lnTo>
                    <a:pt x="93" y="3"/>
                  </a:lnTo>
                  <a:lnTo>
                    <a:pt x="90" y="0"/>
                  </a:lnTo>
                  <a:lnTo>
                    <a:pt x="88" y="0"/>
                  </a:lnTo>
                  <a:lnTo>
                    <a:pt x="85" y="0"/>
                  </a:lnTo>
                  <a:lnTo>
                    <a:pt x="83" y="3"/>
                  </a:lnTo>
                  <a:lnTo>
                    <a:pt x="79" y="5"/>
                  </a:lnTo>
                  <a:lnTo>
                    <a:pt x="74" y="5"/>
                  </a:lnTo>
                  <a:lnTo>
                    <a:pt x="68" y="8"/>
                  </a:lnTo>
                  <a:lnTo>
                    <a:pt x="60" y="8"/>
                  </a:lnTo>
                  <a:lnTo>
                    <a:pt x="58" y="7"/>
                  </a:lnTo>
                  <a:lnTo>
                    <a:pt x="54" y="4"/>
                  </a:lnTo>
                  <a:lnTo>
                    <a:pt x="52" y="0"/>
                  </a:lnTo>
                  <a:lnTo>
                    <a:pt x="49" y="4"/>
                  </a:lnTo>
                  <a:lnTo>
                    <a:pt x="41" y="12"/>
                  </a:lnTo>
                  <a:lnTo>
                    <a:pt x="32" y="16"/>
                  </a:lnTo>
                  <a:lnTo>
                    <a:pt x="25" y="19"/>
                  </a:lnTo>
                  <a:lnTo>
                    <a:pt x="21" y="24"/>
                  </a:lnTo>
                  <a:lnTo>
                    <a:pt x="19" y="31"/>
                  </a:lnTo>
                  <a:lnTo>
                    <a:pt x="21" y="47"/>
                  </a:lnTo>
                  <a:lnTo>
                    <a:pt x="21" y="50"/>
                  </a:lnTo>
                  <a:lnTo>
                    <a:pt x="19" y="52"/>
                  </a:lnTo>
                  <a:lnTo>
                    <a:pt x="17" y="56"/>
                  </a:lnTo>
                  <a:lnTo>
                    <a:pt x="15" y="61"/>
                  </a:lnTo>
                  <a:lnTo>
                    <a:pt x="14" y="65"/>
                  </a:lnTo>
                  <a:lnTo>
                    <a:pt x="19" y="72"/>
                  </a:lnTo>
                  <a:lnTo>
                    <a:pt x="27" y="79"/>
                  </a:lnTo>
                  <a:lnTo>
                    <a:pt x="29" y="81"/>
                  </a:lnTo>
                  <a:lnTo>
                    <a:pt x="30" y="85"/>
                  </a:lnTo>
                  <a:lnTo>
                    <a:pt x="32" y="92"/>
                  </a:lnTo>
                  <a:lnTo>
                    <a:pt x="33" y="105"/>
                  </a:lnTo>
                  <a:lnTo>
                    <a:pt x="31" y="113"/>
                  </a:lnTo>
                  <a:lnTo>
                    <a:pt x="28" y="119"/>
                  </a:lnTo>
                  <a:lnTo>
                    <a:pt x="19" y="121"/>
                  </a:lnTo>
                  <a:lnTo>
                    <a:pt x="0" y="121"/>
                  </a:lnTo>
                  <a:lnTo>
                    <a:pt x="6" y="129"/>
                  </a:lnTo>
                  <a:lnTo>
                    <a:pt x="9" y="136"/>
                  </a:lnTo>
                  <a:lnTo>
                    <a:pt x="9" y="140"/>
                  </a:lnTo>
                  <a:lnTo>
                    <a:pt x="6" y="145"/>
                  </a:lnTo>
                  <a:lnTo>
                    <a:pt x="7" y="149"/>
                  </a:lnTo>
                  <a:lnTo>
                    <a:pt x="19" y="156"/>
                  </a:lnTo>
                  <a:lnTo>
                    <a:pt x="22" y="156"/>
                  </a:lnTo>
                  <a:lnTo>
                    <a:pt x="29" y="156"/>
                  </a:lnTo>
                  <a:lnTo>
                    <a:pt x="42" y="158"/>
                  </a:lnTo>
                  <a:lnTo>
                    <a:pt x="47" y="160"/>
                  </a:lnTo>
                  <a:lnTo>
                    <a:pt x="53" y="169"/>
                  </a:lnTo>
                  <a:lnTo>
                    <a:pt x="55" y="172"/>
                  </a:lnTo>
                  <a:lnTo>
                    <a:pt x="64" y="173"/>
                  </a:lnTo>
                  <a:lnTo>
                    <a:pt x="69" y="174"/>
                  </a:lnTo>
                  <a:lnTo>
                    <a:pt x="76" y="176"/>
                  </a:lnTo>
                  <a:lnTo>
                    <a:pt x="79" y="174"/>
                  </a:lnTo>
                  <a:lnTo>
                    <a:pt x="79" y="163"/>
                  </a:lnTo>
                  <a:lnTo>
                    <a:pt x="79" y="158"/>
                  </a:lnTo>
                  <a:lnTo>
                    <a:pt x="76" y="153"/>
                  </a:lnTo>
                  <a:lnTo>
                    <a:pt x="69" y="145"/>
                  </a:lnTo>
                  <a:lnTo>
                    <a:pt x="67" y="138"/>
                  </a:lnTo>
                  <a:lnTo>
                    <a:pt x="65" y="131"/>
                  </a:lnTo>
                  <a:lnTo>
                    <a:pt x="64" y="121"/>
                  </a:lnTo>
                  <a:lnTo>
                    <a:pt x="64" y="116"/>
                  </a:lnTo>
                  <a:lnTo>
                    <a:pt x="68" y="111"/>
                  </a:lnTo>
                  <a:lnTo>
                    <a:pt x="72" y="107"/>
                  </a:lnTo>
                  <a:lnTo>
                    <a:pt x="73" y="104"/>
                  </a:lnTo>
                  <a:lnTo>
                    <a:pt x="76" y="97"/>
                  </a:lnTo>
                  <a:lnTo>
                    <a:pt x="82" y="88"/>
                  </a:lnTo>
                  <a:lnTo>
                    <a:pt x="89" y="85"/>
                  </a:lnTo>
                  <a:lnTo>
                    <a:pt x="96" y="86"/>
                  </a:lnTo>
                  <a:lnTo>
                    <a:pt x="103" y="91"/>
                  </a:lnTo>
                  <a:lnTo>
                    <a:pt x="105" y="96"/>
                  </a:lnTo>
                  <a:lnTo>
                    <a:pt x="101" y="105"/>
                  </a:lnTo>
                  <a:lnTo>
                    <a:pt x="99" y="110"/>
                  </a:lnTo>
                  <a:lnTo>
                    <a:pt x="97" y="111"/>
                  </a:lnTo>
                  <a:lnTo>
                    <a:pt x="95" y="108"/>
                  </a:lnTo>
                  <a:lnTo>
                    <a:pt x="95" y="102"/>
                  </a:lnTo>
                  <a:lnTo>
                    <a:pt x="91" y="98"/>
                  </a:lnTo>
                  <a:lnTo>
                    <a:pt x="85" y="96"/>
                  </a:lnTo>
                  <a:lnTo>
                    <a:pt x="82" y="97"/>
                  </a:lnTo>
                  <a:lnTo>
                    <a:pt x="79" y="98"/>
                  </a:lnTo>
                  <a:lnTo>
                    <a:pt x="77" y="100"/>
                  </a:lnTo>
                  <a:lnTo>
                    <a:pt x="77" y="103"/>
                  </a:lnTo>
                  <a:lnTo>
                    <a:pt x="77" y="106"/>
                  </a:lnTo>
                  <a:lnTo>
                    <a:pt x="80" y="112"/>
                  </a:lnTo>
                  <a:lnTo>
                    <a:pt x="85" y="119"/>
                  </a:lnTo>
                  <a:lnTo>
                    <a:pt x="86" y="121"/>
                  </a:lnTo>
                  <a:lnTo>
                    <a:pt x="87" y="126"/>
                  </a:lnTo>
                  <a:lnTo>
                    <a:pt x="93" y="135"/>
                  </a:lnTo>
                  <a:lnTo>
                    <a:pt x="97" y="148"/>
                  </a:lnTo>
                  <a:lnTo>
                    <a:pt x="97" y="158"/>
                  </a:lnTo>
                  <a:lnTo>
                    <a:pt x="96" y="162"/>
                  </a:lnTo>
                  <a:lnTo>
                    <a:pt x="94" y="166"/>
                  </a:lnTo>
                  <a:lnTo>
                    <a:pt x="91" y="169"/>
                  </a:lnTo>
                  <a:lnTo>
                    <a:pt x="89" y="172"/>
                  </a:lnTo>
                  <a:lnTo>
                    <a:pt x="86" y="178"/>
                  </a:lnTo>
                  <a:lnTo>
                    <a:pt x="79" y="185"/>
                  </a:lnTo>
                  <a:lnTo>
                    <a:pt x="70" y="189"/>
                  </a:lnTo>
                  <a:lnTo>
                    <a:pt x="71" y="193"/>
                  </a:lnTo>
                  <a:lnTo>
                    <a:pt x="75" y="196"/>
                  </a:lnTo>
                  <a:lnTo>
                    <a:pt x="83" y="194"/>
                  </a:lnTo>
                  <a:lnTo>
                    <a:pt x="93" y="190"/>
                  </a:lnTo>
                  <a:lnTo>
                    <a:pt x="112" y="187"/>
                  </a:lnTo>
                  <a:lnTo>
                    <a:pt x="115" y="185"/>
                  </a:lnTo>
                  <a:lnTo>
                    <a:pt x="125" y="177"/>
                  </a:lnTo>
                  <a:lnTo>
                    <a:pt x="130" y="172"/>
                  </a:lnTo>
                  <a:lnTo>
                    <a:pt x="134" y="171"/>
                  </a:lnTo>
                  <a:lnTo>
                    <a:pt x="146" y="169"/>
                  </a:lnTo>
                  <a:lnTo>
                    <a:pt x="149" y="166"/>
                  </a:lnTo>
                  <a:lnTo>
                    <a:pt x="149" y="161"/>
                  </a:lnTo>
                  <a:lnTo>
                    <a:pt x="148" y="153"/>
                  </a:lnTo>
                  <a:lnTo>
                    <a:pt x="146" y="149"/>
                  </a:lnTo>
                  <a:lnTo>
                    <a:pt x="140" y="147"/>
                  </a:lnTo>
                  <a:lnTo>
                    <a:pt x="137" y="144"/>
                  </a:lnTo>
                  <a:lnTo>
                    <a:pt x="140" y="138"/>
                  </a:lnTo>
                  <a:lnTo>
                    <a:pt x="146" y="135"/>
                  </a:lnTo>
                  <a:lnTo>
                    <a:pt x="156" y="132"/>
                  </a:lnTo>
                  <a:lnTo>
                    <a:pt x="160" y="133"/>
                  </a:lnTo>
                  <a:close/>
                </a:path>
              </a:pathLst>
            </a:custGeom>
            <a:solidFill>
              <a:schemeClr val="bg1">
                <a:lumMod val="50000"/>
              </a:schemeClr>
            </a:solidFill>
            <a:ln>
              <a:noFill/>
            </a:ln>
            <a:extLst>
              <a:ext uri="{91240B29-F687-4F45-9708-019B960494DF}">
                <a14:hiddenLine xmlns:a14="http://schemas.microsoft.com/office/drawing/2010/main" w="12700" cap="flat" cmpd="sng">
                  <a:solidFill>
                    <a:srgbClr val="000000"/>
                  </a:solidFill>
                  <a:prstDash val="solid"/>
                  <a:round/>
                  <a:headEnd/>
                  <a:tailEnd/>
                </a14:hiddenLine>
              </a:ext>
            </a:extLst>
          </xdr:spPr>
        </xdr:sp>
        <xdr:sp macro="" textlink="">
          <xdr:nvSpPr>
            <xdr:cNvPr id="1211975" name="Freeform 59">
              <a:extLst>
                <a:ext uri="{FF2B5EF4-FFF2-40B4-BE49-F238E27FC236}">
                  <a16:creationId xmlns:a16="http://schemas.microsoft.com/office/drawing/2014/main" id="{00000000-0008-0000-0900-0000477E1200}"/>
                </a:ext>
              </a:extLst>
            </xdr:cNvPr>
            <xdr:cNvSpPr>
              <a:spLocks noChangeAspect="1"/>
            </xdr:cNvSpPr>
          </xdr:nvSpPr>
          <xdr:spPr bwMode="auto">
            <a:xfrm rot="238154">
              <a:off x="163" y="3472"/>
              <a:ext cx="20" cy="33"/>
            </a:xfrm>
            <a:custGeom>
              <a:avLst/>
              <a:gdLst>
                <a:gd name="T0" fmla="*/ 88 w 17"/>
                <a:gd name="T1" fmla="*/ 76 h 26"/>
                <a:gd name="T2" fmla="*/ 88 w 17"/>
                <a:gd name="T3" fmla="*/ 1 h 26"/>
                <a:gd name="T4" fmla="*/ 58 w 17"/>
                <a:gd name="T5" fmla="*/ 0 h 26"/>
                <a:gd name="T6" fmla="*/ 1 w 17"/>
                <a:gd name="T7" fmla="*/ 76 h 26"/>
                <a:gd name="T8" fmla="*/ 0 w 17"/>
                <a:gd name="T9" fmla="*/ 96 h 26"/>
                <a:gd name="T10" fmla="*/ 0 w 17"/>
                <a:gd name="T11" fmla="*/ 151 h 26"/>
                <a:gd name="T12" fmla="*/ 18 w 17"/>
                <a:gd name="T13" fmla="*/ 244 h 26"/>
                <a:gd name="T14" fmla="*/ 34 w 17"/>
                <a:gd name="T15" fmla="*/ 279 h 26"/>
                <a:gd name="T16" fmla="*/ 58 w 17"/>
                <a:gd name="T17" fmla="*/ 281 h 26"/>
                <a:gd name="T18" fmla="*/ 58 w 17"/>
                <a:gd name="T19" fmla="*/ 279 h 26"/>
                <a:gd name="T20" fmla="*/ 68 w 17"/>
                <a:gd name="T21" fmla="*/ 231 h 26"/>
                <a:gd name="T22" fmla="*/ 80 w 17"/>
                <a:gd name="T23" fmla="*/ 157 h 26"/>
                <a:gd name="T24" fmla="*/ 88 w 17"/>
                <a:gd name="T25" fmla="*/ 76 h 2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0" t="0" r="r" b="b"/>
              <a:pathLst>
                <a:path w="17" h="26">
                  <a:moveTo>
                    <a:pt x="17" y="7"/>
                  </a:moveTo>
                  <a:lnTo>
                    <a:pt x="17" y="1"/>
                  </a:lnTo>
                  <a:lnTo>
                    <a:pt x="12" y="0"/>
                  </a:lnTo>
                  <a:lnTo>
                    <a:pt x="1" y="7"/>
                  </a:lnTo>
                  <a:lnTo>
                    <a:pt x="0" y="9"/>
                  </a:lnTo>
                  <a:lnTo>
                    <a:pt x="0" y="13"/>
                  </a:lnTo>
                  <a:lnTo>
                    <a:pt x="3" y="22"/>
                  </a:lnTo>
                  <a:lnTo>
                    <a:pt x="7" y="25"/>
                  </a:lnTo>
                  <a:lnTo>
                    <a:pt x="12" y="26"/>
                  </a:lnTo>
                  <a:lnTo>
                    <a:pt x="12" y="25"/>
                  </a:lnTo>
                  <a:lnTo>
                    <a:pt x="14" y="21"/>
                  </a:lnTo>
                  <a:lnTo>
                    <a:pt x="16" y="15"/>
                  </a:lnTo>
                  <a:lnTo>
                    <a:pt x="17" y="7"/>
                  </a:lnTo>
                  <a:close/>
                </a:path>
              </a:pathLst>
            </a:custGeom>
            <a:solidFill>
              <a:schemeClr val="bg1">
                <a:lumMod val="50000"/>
              </a:schemeClr>
            </a:solidFill>
            <a:ln>
              <a:noFill/>
            </a:ln>
            <a:extLst>
              <a:ext uri="{91240B29-F687-4F45-9708-019B960494DF}">
                <a14:hiddenLine xmlns:a14="http://schemas.microsoft.com/office/drawing/2010/main" w="12700">
                  <a:solidFill>
                    <a:srgbClr val="000000"/>
                  </a:solidFill>
                  <a:prstDash val="solid"/>
                  <a:round/>
                  <a:headEnd/>
                  <a:tailEnd/>
                </a14:hiddenLine>
              </a:ext>
            </a:extLst>
          </xdr:spPr>
        </xdr:sp>
      </xdr:grpSp>
      <xdr:sp macro="" textlink="">
        <xdr:nvSpPr>
          <xdr:cNvPr id="83" name="Text Box 60">
            <a:extLst>
              <a:ext uri="{FF2B5EF4-FFF2-40B4-BE49-F238E27FC236}">
                <a16:creationId xmlns:a16="http://schemas.microsoft.com/office/drawing/2014/main" id="{00000000-0008-0000-0900-000053000000}"/>
              </a:ext>
            </a:extLst>
          </xdr:cNvPr>
          <xdr:cNvSpPr txBox="1">
            <a:spLocks noChangeArrowheads="1"/>
          </xdr:cNvSpPr>
        </xdr:nvSpPr>
        <xdr:spPr bwMode="auto">
          <a:xfrm>
            <a:off x="11288417" y="6964838"/>
            <a:ext cx="858309" cy="736271"/>
          </a:xfrm>
          <a:prstGeom prst="rect">
            <a:avLst/>
          </a:prstGeom>
          <a:noFill/>
          <a:ln>
            <a:noFill/>
          </a:ln>
          <a:effectLst/>
        </xdr:spPr>
        <xdr:txBody>
          <a:bodyPr vertOverflow="clip" wrap="square" lIns="27432" tIns="18288" rIns="0" bIns="0" anchor="t" upright="1"/>
          <a:lstStyle/>
          <a:p>
            <a:pPr rtl="0"/>
            <a:r>
              <a:rPr lang="ja-JP" altLang="ja-JP" sz="900" b="0" i="0" baseline="0">
                <a:effectLst/>
                <a:latin typeface="メイリオ" panose="020B0604030504040204" pitchFamily="50" charset="-128"/>
                <a:ea typeface="メイリオ" panose="020B0604030504040204" pitchFamily="50" charset="-128"/>
                <a:cs typeface="+mn-cs"/>
              </a:rPr>
              <a:t>東北地区</a:t>
            </a:r>
            <a:endParaRPr lang="ja-JP" altLang="ja-JP" sz="900">
              <a:effectLst/>
              <a:latin typeface="メイリオ" panose="020B0604030504040204" pitchFamily="50" charset="-128"/>
              <a:ea typeface="メイリオ" panose="020B0604030504040204" pitchFamily="50" charset="-128"/>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ja-JP" sz="900" b="0" i="0" baseline="0">
                <a:effectLst/>
                <a:latin typeface="+mj-lt"/>
                <a:ea typeface="メイリオ" panose="020B0604030504040204" pitchFamily="50" charset="-128"/>
                <a:cs typeface="+mn-cs"/>
              </a:rPr>
              <a:t>Tohoku</a:t>
            </a:r>
            <a:endParaRPr lang="ja-JP" altLang="ja-JP" sz="900">
              <a:effectLst/>
              <a:latin typeface="+mj-lt"/>
              <a:ea typeface="メイリオ" panose="020B0604030504040204" pitchFamily="50" charset="-128"/>
            </a:endParaRPr>
          </a:p>
        </xdr:txBody>
      </xdr:sp>
      <xdr:sp macro="" textlink="">
        <xdr:nvSpPr>
          <xdr:cNvPr id="84" name="Text Box 60">
            <a:extLst>
              <a:ext uri="{FF2B5EF4-FFF2-40B4-BE49-F238E27FC236}">
                <a16:creationId xmlns:a16="http://schemas.microsoft.com/office/drawing/2014/main" id="{00000000-0008-0000-0900-000054000000}"/>
              </a:ext>
            </a:extLst>
          </xdr:cNvPr>
          <xdr:cNvSpPr txBox="1">
            <a:spLocks noChangeArrowheads="1"/>
          </xdr:cNvSpPr>
        </xdr:nvSpPr>
        <xdr:spPr bwMode="auto">
          <a:xfrm>
            <a:off x="11032650" y="7627976"/>
            <a:ext cx="1983021" cy="984992"/>
          </a:xfrm>
          <a:prstGeom prst="rect">
            <a:avLst/>
          </a:prstGeom>
          <a:noFill/>
          <a:ln>
            <a:noFill/>
          </a:ln>
          <a:effectLst/>
        </xdr:spPr>
        <xdr:txBody>
          <a:bodyPr vertOverflow="clip" wrap="square" lIns="27432" tIns="18288" rIns="0" bIns="0" anchor="t" upright="1"/>
          <a:lstStyle/>
          <a:p>
            <a:pPr rtl="0"/>
            <a:r>
              <a:rPr lang="ja-JP" altLang="en-US" sz="900" b="0" i="0" baseline="0">
                <a:effectLst/>
                <a:latin typeface="メイリオ" panose="020B0604030504040204" pitchFamily="50" charset="-128"/>
                <a:ea typeface="メイリオ" panose="020B0604030504040204" pitchFamily="50" charset="-128"/>
                <a:cs typeface="+mn-cs"/>
              </a:rPr>
              <a:t>関東・甲信越地区</a:t>
            </a:r>
          </a:p>
          <a:p>
            <a:pPr marL="0" marR="0" lvl="0" indent="0" algn="l" defTabSz="914400" rtl="0" eaLnBrk="1" fontAlgn="auto" latinLnBrk="0" hangingPunct="1">
              <a:lnSpc>
                <a:spcPts val="1000"/>
              </a:lnSpc>
              <a:spcBef>
                <a:spcPts val="0"/>
              </a:spcBef>
              <a:spcAft>
                <a:spcPts val="0"/>
              </a:spcAft>
              <a:buClrTx/>
              <a:buSzTx/>
              <a:buFontTx/>
              <a:buNone/>
              <a:tabLst/>
              <a:defRPr sz="1000"/>
            </a:pPr>
            <a:r>
              <a:rPr lang="en-US" altLang="ja-JP" sz="900" b="0" i="0" baseline="0">
                <a:effectLst/>
                <a:latin typeface="+mj-lt"/>
                <a:ea typeface="メイリオ" panose="020B0604030504040204" pitchFamily="50" charset="-128"/>
                <a:cs typeface="+mn-cs"/>
              </a:rPr>
              <a:t>Kanto</a:t>
            </a:r>
            <a:r>
              <a:rPr lang="ja-JP" altLang="en-US" sz="900" b="0" i="0" baseline="0">
                <a:effectLst/>
                <a:latin typeface="+mj-lt"/>
                <a:ea typeface="メイリオ" panose="020B0604030504040204" pitchFamily="50" charset="-128"/>
                <a:cs typeface="+mn-cs"/>
              </a:rPr>
              <a:t>・</a:t>
            </a:r>
            <a:r>
              <a:rPr lang="en-US" altLang="ja-JP" sz="900" b="0" i="0" baseline="0">
                <a:effectLst/>
                <a:latin typeface="+mj-lt"/>
                <a:ea typeface="メイリオ" panose="020B0604030504040204" pitchFamily="50" charset="-128"/>
                <a:cs typeface="+mn-cs"/>
              </a:rPr>
              <a:t>Koshinetsu</a:t>
            </a:r>
          </a:p>
        </xdr:txBody>
      </xdr:sp>
      <xdr:sp macro="" textlink="">
        <xdr:nvSpPr>
          <xdr:cNvPr id="85" name="Text Box 60">
            <a:extLst>
              <a:ext uri="{FF2B5EF4-FFF2-40B4-BE49-F238E27FC236}">
                <a16:creationId xmlns:a16="http://schemas.microsoft.com/office/drawing/2014/main" id="{00000000-0008-0000-0900-000055000000}"/>
              </a:ext>
            </a:extLst>
          </xdr:cNvPr>
          <xdr:cNvSpPr txBox="1">
            <a:spLocks noChangeArrowheads="1"/>
          </xdr:cNvSpPr>
        </xdr:nvSpPr>
        <xdr:spPr bwMode="auto">
          <a:xfrm>
            <a:off x="10201072" y="6491147"/>
            <a:ext cx="823855" cy="679632"/>
          </a:xfrm>
          <a:prstGeom prst="rect">
            <a:avLst/>
          </a:prstGeom>
          <a:noFill/>
          <a:ln>
            <a:noFill/>
          </a:ln>
          <a:effectLst/>
        </xdr:spPr>
        <xdr:txBody>
          <a:bodyPr vertOverflow="clip" wrap="square" lIns="27432" tIns="18288" rIns="0" bIns="0" anchor="t" upright="1"/>
          <a:lstStyle/>
          <a:p>
            <a:pPr rtl="0"/>
            <a:r>
              <a:rPr lang="ja-JP" altLang="en-US" sz="900" b="0" i="0" baseline="0">
                <a:effectLst/>
                <a:latin typeface="メイリオ" panose="020B0604030504040204" pitchFamily="50" charset="-128"/>
                <a:ea typeface="メイリオ" panose="020B0604030504040204" pitchFamily="50" charset="-128"/>
                <a:cs typeface="+mn-cs"/>
              </a:rPr>
              <a:t>中部地区</a:t>
            </a:r>
          </a:p>
          <a:p>
            <a:pPr marL="0" marR="0" lvl="0" indent="0" algn="l" defTabSz="914400" rtl="0" eaLnBrk="1" fontAlgn="auto" latinLnBrk="0" hangingPunct="1">
              <a:lnSpc>
                <a:spcPts val="1000"/>
              </a:lnSpc>
              <a:spcBef>
                <a:spcPts val="0"/>
              </a:spcBef>
              <a:spcAft>
                <a:spcPts val="0"/>
              </a:spcAft>
              <a:buClrTx/>
              <a:buSzTx/>
              <a:buFontTx/>
              <a:buNone/>
              <a:tabLst/>
              <a:defRPr sz="1000"/>
            </a:pPr>
            <a:r>
              <a:rPr lang="en-US" altLang="ja-JP" sz="900" b="0" i="0" baseline="0">
                <a:effectLst/>
                <a:latin typeface="+mj-lt"/>
                <a:ea typeface="メイリオ" panose="020B0604030504040204" pitchFamily="50" charset="-128"/>
                <a:cs typeface="+mn-cs"/>
              </a:rPr>
              <a:t>Chubu</a:t>
            </a:r>
          </a:p>
        </xdr:txBody>
      </xdr:sp>
      <xdr:sp macro="" textlink="">
        <xdr:nvSpPr>
          <xdr:cNvPr id="86" name="Text Box 60">
            <a:extLst>
              <a:ext uri="{FF2B5EF4-FFF2-40B4-BE49-F238E27FC236}">
                <a16:creationId xmlns:a16="http://schemas.microsoft.com/office/drawing/2014/main" id="{00000000-0008-0000-0900-000056000000}"/>
              </a:ext>
            </a:extLst>
          </xdr:cNvPr>
          <xdr:cNvSpPr txBox="1">
            <a:spLocks noChangeArrowheads="1"/>
          </xdr:cNvSpPr>
        </xdr:nvSpPr>
        <xdr:spPr bwMode="auto">
          <a:xfrm>
            <a:off x="10170871" y="8123068"/>
            <a:ext cx="708066" cy="500651"/>
          </a:xfrm>
          <a:prstGeom prst="rect">
            <a:avLst/>
          </a:prstGeom>
          <a:noFill/>
          <a:ln>
            <a:noFill/>
          </a:ln>
          <a:effectLst/>
        </xdr:spPr>
        <xdr:txBody>
          <a:bodyPr vertOverflow="clip" wrap="square" lIns="27432" tIns="18288" rIns="0" bIns="0" anchor="t" upright="1"/>
          <a:lstStyle/>
          <a:p>
            <a:pPr rtl="0"/>
            <a:r>
              <a:rPr lang="ja-JP" altLang="en-US" sz="900" b="0" i="0" baseline="0">
                <a:effectLst/>
                <a:latin typeface="メイリオ" panose="020B0604030504040204" pitchFamily="50" charset="-128"/>
                <a:ea typeface="メイリオ" panose="020B0604030504040204" pitchFamily="50" charset="-128"/>
                <a:cs typeface="+mn-cs"/>
              </a:rPr>
              <a:t>近畿地区</a:t>
            </a:r>
            <a:r>
              <a:rPr lang="ja-JP" altLang="en-US" sz="900" b="0" i="0" u="none" strike="noStrike" baseline="0">
                <a:solidFill>
                  <a:srgbClr val="000000"/>
                </a:solidFill>
                <a:effectLst/>
                <a:latin typeface="メイリオ" panose="020B0604030504040204" pitchFamily="50" charset="-128"/>
                <a:ea typeface="メイリオ" panose="020B0604030504040204" pitchFamily="50" charset="-128"/>
                <a:cs typeface="+mn-cs"/>
              </a:rPr>
              <a:t>　　　　　　　　　　　</a:t>
            </a:r>
            <a:r>
              <a:rPr lang="en-US" altLang="ja-JP" sz="900" b="0" i="0" baseline="0">
                <a:effectLst/>
                <a:latin typeface="+mj-lt"/>
                <a:ea typeface="メイリオ" panose="020B0604030504040204" pitchFamily="50" charset="-128"/>
                <a:cs typeface="+mn-cs"/>
              </a:rPr>
              <a:t>Kinki</a:t>
            </a:r>
          </a:p>
        </xdr:txBody>
      </xdr:sp>
      <xdr:sp macro="" textlink="">
        <xdr:nvSpPr>
          <xdr:cNvPr id="87" name="Text Box 60">
            <a:extLst>
              <a:ext uri="{FF2B5EF4-FFF2-40B4-BE49-F238E27FC236}">
                <a16:creationId xmlns:a16="http://schemas.microsoft.com/office/drawing/2014/main" id="{00000000-0008-0000-0900-000057000000}"/>
              </a:ext>
            </a:extLst>
          </xdr:cNvPr>
          <xdr:cNvSpPr txBox="1">
            <a:spLocks noChangeArrowheads="1"/>
          </xdr:cNvSpPr>
        </xdr:nvSpPr>
        <xdr:spPr bwMode="auto">
          <a:xfrm>
            <a:off x="8903271" y="7044763"/>
            <a:ext cx="1783751" cy="979473"/>
          </a:xfrm>
          <a:prstGeom prst="rect">
            <a:avLst/>
          </a:prstGeom>
          <a:noFill/>
          <a:ln>
            <a:noFill/>
          </a:ln>
          <a:effectLst/>
        </xdr:spPr>
        <xdr:txBody>
          <a:bodyPr vertOverflow="clip" wrap="square" lIns="27432" tIns="18288" rIns="0" bIns="0" anchor="t" upright="1"/>
          <a:lstStyle/>
          <a:p>
            <a:pPr rtl="0"/>
            <a:r>
              <a:rPr lang="ja-JP" altLang="en-US" sz="900" b="0" i="0" baseline="0">
                <a:effectLst/>
                <a:latin typeface="メイリオ" panose="020B0604030504040204" pitchFamily="50" charset="-128"/>
                <a:ea typeface="メイリオ" panose="020B0604030504040204" pitchFamily="50" charset="-128"/>
                <a:cs typeface="+mn-cs"/>
              </a:rPr>
              <a:t>中国・四国地区</a:t>
            </a:r>
          </a:p>
          <a:p>
            <a:pPr marL="0" marR="0" lvl="0" indent="0" algn="l" defTabSz="914400" rtl="0" eaLnBrk="1" fontAlgn="auto" latinLnBrk="0" hangingPunct="1">
              <a:lnSpc>
                <a:spcPts val="1000"/>
              </a:lnSpc>
              <a:spcBef>
                <a:spcPts val="0"/>
              </a:spcBef>
              <a:spcAft>
                <a:spcPts val="0"/>
              </a:spcAft>
              <a:buClrTx/>
              <a:buSzTx/>
              <a:buFontTx/>
              <a:buNone/>
              <a:tabLst/>
              <a:defRPr sz="1000"/>
            </a:pPr>
            <a:r>
              <a:rPr lang="en-US" altLang="ja-JP" sz="900" b="0" i="0" baseline="0">
                <a:effectLst/>
                <a:latin typeface="+mj-lt"/>
                <a:ea typeface="メイリオ" panose="020B0604030504040204" pitchFamily="50" charset="-128"/>
                <a:cs typeface="+mn-cs"/>
              </a:rPr>
              <a:t>Chugoku</a:t>
            </a:r>
            <a:r>
              <a:rPr lang="ja-JP" altLang="en-US" sz="900" b="0" i="0" baseline="0">
                <a:effectLst/>
                <a:latin typeface="+mj-lt"/>
                <a:ea typeface="メイリオ" panose="020B0604030504040204" pitchFamily="50" charset="-128"/>
                <a:cs typeface="+mn-cs"/>
              </a:rPr>
              <a:t>・</a:t>
            </a:r>
            <a:r>
              <a:rPr lang="en-US" altLang="ja-JP" sz="900" b="0" i="0" baseline="0">
                <a:effectLst/>
                <a:latin typeface="+mj-lt"/>
                <a:ea typeface="メイリオ" panose="020B0604030504040204" pitchFamily="50" charset="-128"/>
                <a:cs typeface="+mn-cs"/>
              </a:rPr>
              <a:t>Shikoku</a:t>
            </a:r>
          </a:p>
          <a:p>
            <a:pPr marL="0" marR="0" lvl="0" indent="0" algn="l" defTabSz="914400" rtl="0" eaLnBrk="1" fontAlgn="auto" latinLnBrk="0" hangingPunct="1">
              <a:lnSpc>
                <a:spcPts val="1000"/>
              </a:lnSpc>
              <a:spcBef>
                <a:spcPts val="0"/>
              </a:spcBef>
              <a:spcAft>
                <a:spcPts val="0"/>
              </a:spcAft>
              <a:buClrTx/>
              <a:buSzTx/>
              <a:buFontTx/>
              <a:buNone/>
              <a:tabLst/>
              <a:defRPr sz="1000"/>
            </a:pPr>
            <a:endParaRPr lang="en-US" altLang="ja-JP" sz="900" b="0" i="0" baseline="0">
              <a:effectLst/>
              <a:latin typeface="メイリオ" panose="020B0604030504040204" pitchFamily="50" charset="-128"/>
              <a:ea typeface="メイリオ" panose="020B0604030504040204" pitchFamily="50" charset="-128"/>
              <a:cs typeface="+mn-cs"/>
            </a:endParaRPr>
          </a:p>
        </xdr:txBody>
      </xdr:sp>
      <xdr:sp macro="" textlink="">
        <xdr:nvSpPr>
          <xdr:cNvPr id="88" name="Text Box 60">
            <a:extLst>
              <a:ext uri="{FF2B5EF4-FFF2-40B4-BE49-F238E27FC236}">
                <a16:creationId xmlns:a16="http://schemas.microsoft.com/office/drawing/2014/main" id="{00000000-0008-0000-0900-000058000000}"/>
              </a:ext>
            </a:extLst>
          </xdr:cNvPr>
          <xdr:cNvSpPr txBox="1">
            <a:spLocks noChangeArrowheads="1"/>
          </xdr:cNvSpPr>
        </xdr:nvSpPr>
        <xdr:spPr bwMode="auto">
          <a:xfrm>
            <a:off x="8747274" y="8388714"/>
            <a:ext cx="2282360" cy="787190"/>
          </a:xfrm>
          <a:prstGeom prst="rect">
            <a:avLst/>
          </a:prstGeom>
          <a:noFill/>
          <a:ln>
            <a:noFill/>
          </a:ln>
          <a:effectLst/>
        </xdr:spPr>
        <xdr:txBody>
          <a:bodyPr vertOverflow="clip" wrap="square" lIns="27432" tIns="18288" rIns="0" bIns="0" anchor="t" upright="1"/>
          <a:lstStyle/>
          <a:p>
            <a:pPr rtl="0"/>
            <a:r>
              <a:rPr lang="ja-JP" altLang="en-US" sz="900" b="0" i="0" baseline="0">
                <a:effectLst/>
                <a:latin typeface="メイリオ" panose="020B0604030504040204" pitchFamily="50" charset="-128"/>
                <a:ea typeface="メイリオ" panose="020B0604030504040204" pitchFamily="50" charset="-128"/>
                <a:cs typeface="+mn-cs"/>
              </a:rPr>
              <a:t>九州・沖縄地区</a:t>
            </a:r>
          </a:p>
          <a:p>
            <a:pPr marL="0" marR="0" lvl="0" indent="0" algn="l" defTabSz="914400" rtl="0" eaLnBrk="1" fontAlgn="auto" latinLnBrk="0" hangingPunct="1">
              <a:lnSpc>
                <a:spcPts val="1000"/>
              </a:lnSpc>
              <a:spcBef>
                <a:spcPts val="0"/>
              </a:spcBef>
              <a:spcAft>
                <a:spcPts val="0"/>
              </a:spcAft>
              <a:buClrTx/>
              <a:buSzTx/>
              <a:buFontTx/>
              <a:buNone/>
              <a:tabLst/>
              <a:defRPr sz="1000"/>
            </a:pPr>
            <a:r>
              <a:rPr lang="en-US" altLang="ja-JP" sz="900" b="0" i="0" baseline="0">
                <a:effectLst/>
                <a:latin typeface="+mj-lt"/>
                <a:ea typeface="メイリオ" panose="020B0604030504040204" pitchFamily="50" charset="-128"/>
                <a:cs typeface="+mn-cs"/>
              </a:rPr>
              <a:t>Kyushu</a:t>
            </a:r>
            <a:r>
              <a:rPr lang="ja-JP" altLang="en-US" sz="900" b="0" i="0" baseline="0">
                <a:effectLst/>
                <a:latin typeface="+mj-lt"/>
                <a:ea typeface="メイリオ" panose="020B0604030504040204" pitchFamily="50" charset="-128"/>
                <a:cs typeface="+mn-cs"/>
              </a:rPr>
              <a:t>・</a:t>
            </a:r>
            <a:r>
              <a:rPr lang="en-US" altLang="ja-JP" sz="900" b="0" i="0" baseline="0">
                <a:effectLst/>
                <a:latin typeface="+mj-lt"/>
                <a:ea typeface="メイリオ" panose="020B0604030504040204" pitchFamily="50" charset="-128"/>
                <a:cs typeface="+mn-cs"/>
              </a:rPr>
              <a:t>Okinawa</a:t>
            </a:r>
          </a:p>
        </xdr:txBody>
      </xdr:sp>
      <xdr:cxnSp macro="">
        <xdr:nvCxnSpPr>
          <xdr:cNvPr id="91" name="直線コネクタ 90">
            <a:extLst>
              <a:ext uri="{FF2B5EF4-FFF2-40B4-BE49-F238E27FC236}">
                <a16:creationId xmlns:a16="http://schemas.microsoft.com/office/drawing/2014/main" id="{00000000-0008-0000-0900-00005B000000}"/>
              </a:ext>
            </a:extLst>
          </xdr:cNvPr>
          <xdr:cNvCxnSpPr/>
        </xdr:nvCxnSpPr>
        <xdr:spPr bwMode="auto">
          <a:xfrm>
            <a:off x="10466916" y="7044762"/>
            <a:ext cx="0" cy="554072"/>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92" name="直線コネクタ 91">
            <a:extLst>
              <a:ext uri="{FF2B5EF4-FFF2-40B4-BE49-F238E27FC236}">
                <a16:creationId xmlns:a16="http://schemas.microsoft.com/office/drawing/2014/main" id="{00000000-0008-0000-0900-00005C000000}"/>
              </a:ext>
            </a:extLst>
          </xdr:cNvPr>
          <xdr:cNvCxnSpPr/>
        </xdr:nvCxnSpPr>
        <xdr:spPr bwMode="auto">
          <a:xfrm>
            <a:off x="9853084" y="7577666"/>
            <a:ext cx="0" cy="23283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7</xdr:col>
      <xdr:colOff>62269</xdr:colOff>
      <xdr:row>20</xdr:row>
      <xdr:rowOff>34254</xdr:rowOff>
    </xdr:from>
    <xdr:to>
      <xdr:col>14</xdr:col>
      <xdr:colOff>21286</xdr:colOff>
      <xdr:row>33</xdr:row>
      <xdr:rowOff>65719</xdr:rowOff>
    </xdr:to>
    <xdr:graphicFrame macro="">
      <xdr:nvGraphicFramePr>
        <xdr:cNvPr id="76" name="グラフ 67">
          <a:extLst>
            <a:ext uri="{FF2B5EF4-FFF2-40B4-BE49-F238E27FC236}">
              <a16:creationId xmlns:a16="http://schemas.microsoft.com/office/drawing/2014/main" id="{00000000-0008-0000-0900-00004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342448</xdr:colOff>
      <xdr:row>25</xdr:row>
      <xdr:rowOff>89807</xdr:rowOff>
    </xdr:from>
    <xdr:to>
      <xdr:col>17</xdr:col>
      <xdr:colOff>29763</xdr:colOff>
      <xdr:row>29</xdr:row>
      <xdr:rowOff>221328</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6499500" y="6281860"/>
          <a:ext cx="2039760" cy="1213699"/>
          <a:chOff x="7140575" y="6902450"/>
          <a:chExt cx="2120972" cy="1309446"/>
        </a:xfrm>
      </xdr:grpSpPr>
      <xdr:grpSp>
        <xdr:nvGrpSpPr>
          <xdr:cNvPr id="82" name="グループ化 81">
            <a:extLst>
              <a:ext uri="{FF2B5EF4-FFF2-40B4-BE49-F238E27FC236}">
                <a16:creationId xmlns:a16="http://schemas.microsoft.com/office/drawing/2014/main" id="{00000000-0008-0000-0900-000052000000}"/>
              </a:ext>
            </a:extLst>
          </xdr:cNvPr>
          <xdr:cNvGrpSpPr/>
        </xdr:nvGrpSpPr>
        <xdr:grpSpPr>
          <a:xfrm>
            <a:off x="7140575" y="7548411"/>
            <a:ext cx="1909618" cy="187235"/>
            <a:chOff x="4467225" y="6029325"/>
            <a:chExt cx="2514600" cy="190500"/>
          </a:xfrm>
        </xdr:grpSpPr>
        <xdr:sp macro="" textlink="">
          <xdr:nvSpPr>
            <xdr:cNvPr id="110" name="フローチャート: 処理 109">
              <a:extLst>
                <a:ext uri="{FF2B5EF4-FFF2-40B4-BE49-F238E27FC236}">
                  <a16:creationId xmlns:a16="http://schemas.microsoft.com/office/drawing/2014/main" id="{00000000-0008-0000-0900-00006E000000}"/>
                </a:ext>
              </a:extLst>
            </xdr:cNvPr>
            <xdr:cNvSpPr/>
          </xdr:nvSpPr>
          <xdr:spPr bwMode="auto">
            <a:xfrm>
              <a:off x="4467225" y="6076950"/>
              <a:ext cx="85725" cy="85725"/>
            </a:xfrm>
            <a:prstGeom prst="flowChartProcess">
              <a:avLst/>
            </a:prstGeom>
            <a:solidFill>
              <a:schemeClr val="accent4">
                <a:lumMod val="40000"/>
                <a:lumOff val="6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11" name="テキスト ボックス 110">
              <a:extLst>
                <a:ext uri="{FF2B5EF4-FFF2-40B4-BE49-F238E27FC236}">
                  <a16:creationId xmlns:a16="http://schemas.microsoft.com/office/drawing/2014/main" id="{00000000-0008-0000-0900-00006F000000}"/>
                </a:ext>
              </a:extLst>
            </xdr:cNvPr>
            <xdr:cNvSpPr txBox="1"/>
          </xdr:nvSpPr>
          <xdr:spPr>
            <a:xfrm>
              <a:off x="4533900" y="6029325"/>
              <a:ext cx="24479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メイリオ" panose="020B0604030504040204" pitchFamily="50" charset="-128"/>
                  <a:ea typeface="メイリオ" panose="020B0604030504040204" pitchFamily="50" charset="-128"/>
                </a:rPr>
                <a:t>近畿　</a:t>
              </a:r>
              <a:r>
                <a:rPr kumimoji="1" lang="en-US" altLang="ja-JP" sz="700">
                  <a:latin typeface="+mj-lt"/>
                  <a:ea typeface="メイリオ" panose="020B0604030504040204" pitchFamily="50" charset="-128"/>
                </a:rPr>
                <a:t>Kinki</a:t>
              </a:r>
              <a:r>
                <a:rPr kumimoji="1" lang="ja-JP" altLang="en-US" sz="700">
                  <a:latin typeface="+mj-lt"/>
                  <a:ea typeface="メイリオ" panose="020B0604030504040204" pitchFamily="50" charset="-128"/>
                </a:rPr>
                <a:t> </a:t>
              </a:r>
              <a:r>
                <a:rPr kumimoji="1" lang="en-US" altLang="ja-JP" sz="700">
                  <a:latin typeface="+mj-lt"/>
                  <a:ea typeface="メイリオ" panose="020B0604030504040204" pitchFamily="50" charset="-128"/>
                </a:rPr>
                <a:t>15.6</a:t>
              </a:r>
              <a:r>
                <a:rPr kumimoji="1" lang="ja-JP" altLang="en-US" sz="700">
                  <a:latin typeface="+mj-lt"/>
                  <a:ea typeface="メイリオ" panose="020B0604030504040204" pitchFamily="50" charset="-128"/>
                </a:rPr>
                <a:t>％</a:t>
              </a:r>
              <a:endParaRPr kumimoji="1" lang="en-US" altLang="ja-JP" sz="700">
                <a:latin typeface="+mj-lt"/>
                <a:ea typeface="メイリオ" panose="020B0604030504040204" pitchFamily="50" charset="-128"/>
              </a:endParaRPr>
            </a:p>
          </xdr:txBody>
        </xdr:sp>
      </xdr:grpSp>
      <xdr:grpSp>
        <xdr:nvGrpSpPr>
          <xdr:cNvPr id="89" name="グループ化 88">
            <a:extLst>
              <a:ext uri="{FF2B5EF4-FFF2-40B4-BE49-F238E27FC236}">
                <a16:creationId xmlns:a16="http://schemas.microsoft.com/office/drawing/2014/main" id="{00000000-0008-0000-0900-000059000000}"/>
              </a:ext>
            </a:extLst>
          </xdr:cNvPr>
          <xdr:cNvGrpSpPr/>
        </xdr:nvGrpSpPr>
        <xdr:grpSpPr>
          <a:xfrm>
            <a:off x="7140575" y="6902450"/>
            <a:ext cx="2118419" cy="1142134"/>
            <a:chOff x="4467225" y="6029325"/>
            <a:chExt cx="2789551" cy="1162050"/>
          </a:xfrm>
        </xdr:grpSpPr>
        <xdr:grpSp>
          <xdr:nvGrpSpPr>
            <xdr:cNvPr id="90" name="グループ化 89">
              <a:extLst>
                <a:ext uri="{FF2B5EF4-FFF2-40B4-BE49-F238E27FC236}">
                  <a16:creationId xmlns:a16="http://schemas.microsoft.com/office/drawing/2014/main" id="{00000000-0008-0000-0900-00005A000000}"/>
                </a:ext>
              </a:extLst>
            </xdr:cNvPr>
            <xdr:cNvGrpSpPr/>
          </xdr:nvGrpSpPr>
          <xdr:grpSpPr>
            <a:xfrm>
              <a:off x="4467225" y="6029325"/>
              <a:ext cx="2514600" cy="190500"/>
              <a:chOff x="4467225" y="6029325"/>
              <a:chExt cx="2514600" cy="190500"/>
            </a:xfrm>
          </xdr:grpSpPr>
          <xdr:sp macro="" textlink="">
            <xdr:nvSpPr>
              <xdr:cNvPr id="108" name="フローチャート: 処理 107">
                <a:extLst>
                  <a:ext uri="{FF2B5EF4-FFF2-40B4-BE49-F238E27FC236}">
                    <a16:creationId xmlns:a16="http://schemas.microsoft.com/office/drawing/2014/main" id="{00000000-0008-0000-0900-00006C000000}"/>
                  </a:ext>
                </a:extLst>
              </xdr:cNvPr>
              <xdr:cNvSpPr/>
            </xdr:nvSpPr>
            <xdr:spPr bwMode="auto">
              <a:xfrm>
                <a:off x="4467225" y="6076950"/>
                <a:ext cx="85725" cy="85725"/>
              </a:xfrm>
              <a:prstGeom prst="flowChartProcess">
                <a:avLst/>
              </a:prstGeom>
              <a:solidFill>
                <a:srgbClr val="004098"/>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09" name="テキスト ボックス 108">
                <a:extLst>
                  <a:ext uri="{FF2B5EF4-FFF2-40B4-BE49-F238E27FC236}">
                    <a16:creationId xmlns:a16="http://schemas.microsoft.com/office/drawing/2014/main" id="{00000000-0008-0000-0900-00006D000000}"/>
                  </a:ext>
                </a:extLst>
              </xdr:cNvPr>
              <xdr:cNvSpPr txBox="1"/>
            </xdr:nvSpPr>
            <xdr:spPr>
              <a:xfrm>
                <a:off x="4533900" y="6029325"/>
                <a:ext cx="24479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メイリオ" panose="020B0604030504040204" pitchFamily="50" charset="-128"/>
                    <a:ea typeface="メイリオ" panose="020B0604030504040204" pitchFamily="50" charset="-128"/>
                  </a:rPr>
                  <a:t>北海道　</a:t>
                </a:r>
                <a:r>
                  <a:rPr kumimoji="1" lang="en-US" altLang="ja-JP" sz="700">
                    <a:latin typeface="+mj-lt"/>
                    <a:ea typeface="メイリオ" panose="020B0604030504040204" pitchFamily="50" charset="-128"/>
                  </a:rPr>
                  <a:t>Hokkaido</a:t>
                </a:r>
                <a:r>
                  <a:rPr kumimoji="1" lang="ja-JP" altLang="en-US" sz="700">
                    <a:latin typeface="+mj-lt"/>
                    <a:ea typeface="メイリオ" panose="020B0604030504040204" pitchFamily="50" charset="-128"/>
                  </a:rPr>
                  <a:t> </a:t>
                </a:r>
                <a:r>
                  <a:rPr kumimoji="1" lang="en-US" altLang="ja-JP" sz="700">
                    <a:latin typeface="+mj-lt"/>
                    <a:ea typeface="メイリオ" panose="020B0604030504040204" pitchFamily="50" charset="-128"/>
                  </a:rPr>
                  <a:t>3.6</a:t>
                </a:r>
                <a:r>
                  <a:rPr kumimoji="1" lang="ja-JP" altLang="en-US" sz="700">
                    <a:latin typeface="+mj-lt"/>
                    <a:ea typeface="メイリオ" panose="020B0604030504040204" pitchFamily="50" charset="-128"/>
                  </a:rPr>
                  <a:t>％</a:t>
                </a:r>
                <a:endParaRPr kumimoji="1" lang="en-US" altLang="ja-JP" sz="700">
                  <a:latin typeface="+mj-lt"/>
                  <a:ea typeface="メイリオ" panose="020B0604030504040204" pitchFamily="50" charset="-128"/>
                </a:endParaRPr>
              </a:p>
            </xdr:txBody>
          </xdr:sp>
        </xdr:grpSp>
        <xdr:grpSp>
          <xdr:nvGrpSpPr>
            <xdr:cNvPr id="93" name="グループ化 92">
              <a:extLst>
                <a:ext uri="{FF2B5EF4-FFF2-40B4-BE49-F238E27FC236}">
                  <a16:creationId xmlns:a16="http://schemas.microsoft.com/office/drawing/2014/main" id="{00000000-0008-0000-0900-00005D000000}"/>
                </a:ext>
              </a:extLst>
            </xdr:cNvPr>
            <xdr:cNvGrpSpPr/>
          </xdr:nvGrpSpPr>
          <xdr:grpSpPr>
            <a:xfrm>
              <a:off x="4467225" y="6200775"/>
              <a:ext cx="2514600" cy="190500"/>
              <a:chOff x="4467225" y="6029325"/>
              <a:chExt cx="2514600" cy="190500"/>
            </a:xfrm>
          </xdr:grpSpPr>
          <xdr:sp macro="" textlink="">
            <xdr:nvSpPr>
              <xdr:cNvPr id="106" name="フローチャート: 処理 105">
                <a:extLst>
                  <a:ext uri="{FF2B5EF4-FFF2-40B4-BE49-F238E27FC236}">
                    <a16:creationId xmlns:a16="http://schemas.microsoft.com/office/drawing/2014/main" id="{00000000-0008-0000-0900-00006A000000}"/>
                  </a:ext>
                </a:extLst>
              </xdr:cNvPr>
              <xdr:cNvSpPr/>
            </xdr:nvSpPr>
            <xdr:spPr bwMode="auto">
              <a:xfrm>
                <a:off x="4467225" y="6076950"/>
                <a:ext cx="85725" cy="85725"/>
              </a:xfrm>
              <a:prstGeom prst="flowChartProcess">
                <a:avLst/>
              </a:prstGeom>
              <a:solidFill>
                <a:srgbClr val="1DB1E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07" name="テキスト ボックス 106">
                <a:extLst>
                  <a:ext uri="{FF2B5EF4-FFF2-40B4-BE49-F238E27FC236}">
                    <a16:creationId xmlns:a16="http://schemas.microsoft.com/office/drawing/2014/main" id="{00000000-0008-0000-0900-00006B000000}"/>
                  </a:ext>
                </a:extLst>
              </xdr:cNvPr>
              <xdr:cNvSpPr txBox="1"/>
            </xdr:nvSpPr>
            <xdr:spPr>
              <a:xfrm>
                <a:off x="4533900" y="6029325"/>
                <a:ext cx="24479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baseline="0">
                    <a:latin typeface="メイリオ" panose="020B0604030504040204" pitchFamily="50" charset="-128"/>
                    <a:ea typeface="メイリオ" panose="020B0604030504040204" pitchFamily="50" charset="-128"/>
                  </a:rPr>
                  <a:t>東北　</a:t>
                </a:r>
                <a:r>
                  <a:rPr kumimoji="1" lang="en-US" altLang="ja-JP" sz="700" baseline="0">
                    <a:latin typeface="+mj-lt"/>
                    <a:ea typeface="メイリオ" panose="020B0604030504040204" pitchFamily="50" charset="-128"/>
                  </a:rPr>
                  <a:t>Tohoku</a:t>
                </a:r>
                <a:r>
                  <a:rPr kumimoji="1" lang="ja-JP" altLang="en-US" sz="700" baseline="0">
                    <a:latin typeface="+mj-lt"/>
                    <a:ea typeface="メイリオ" panose="020B0604030504040204" pitchFamily="50" charset="-128"/>
                  </a:rPr>
                  <a:t> </a:t>
                </a:r>
                <a:r>
                  <a:rPr kumimoji="1" lang="en-US" altLang="ja-JP" sz="700" baseline="0">
                    <a:latin typeface="+mj-lt"/>
                    <a:ea typeface="メイリオ" panose="020B0604030504040204" pitchFamily="50" charset="-128"/>
                  </a:rPr>
                  <a:t>4.4</a:t>
                </a:r>
                <a:r>
                  <a:rPr kumimoji="1" lang="ja-JP" altLang="en-US" sz="700" baseline="0">
                    <a:latin typeface="+mj-lt"/>
                    <a:ea typeface="メイリオ" panose="020B0604030504040204" pitchFamily="50" charset="-128"/>
                  </a:rPr>
                  <a:t>％</a:t>
                </a:r>
                <a:endParaRPr kumimoji="1" lang="en-US" altLang="ja-JP" sz="700" baseline="0">
                  <a:latin typeface="+mj-lt"/>
                  <a:ea typeface="メイリオ" panose="020B0604030504040204" pitchFamily="50" charset="-128"/>
                </a:endParaRPr>
              </a:p>
            </xdr:txBody>
          </xdr:sp>
        </xdr:grpSp>
        <xdr:grpSp>
          <xdr:nvGrpSpPr>
            <xdr:cNvPr id="94" name="グループ化 93">
              <a:extLst>
                <a:ext uri="{FF2B5EF4-FFF2-40B4-BE49-F238E27FC236}">
                  <a16:creationId xmlns:a16="http://schemas.microsoft.com/office/drawing/2014/main" id="{00000000-0008-0000-0900-00005E000000}"/>
                </a:ext>
              </a:extLst>
            </xdr:cNvPr>
            <xdr:cNvGrpSpPr/>
          </xdr:nvGrpSpPr>
          <xdr:grpSpPr>
            <a:xfrm>
              <a:off x="4467225" y="6372225"/>
              <a:ext cx="2789551" cy="212184"/>
              <a:chOff x="4467225" y="6029325"/>
              <a:chExt cx="2789551" cy="212184"/>
            </a:xfrm>
          </xdr:grpSpPr>
          <xdr:sp macro="" textlink="">
            <xdr:nvSpPr>
              <xdr:cNvPr id="104" name="フローチャート: 処理 103">
                <a:extLst>
                  <a:ext uri="{FF2B5EF4-FFF2-40B4-BE49-F238E27FC236}">
                    <a16:creationId xmlns:a16="http://schemas.microsoft.com/office/drawing/2014/main" id="{00000000-0008-0000-0900-000068000000}"/>
                  </a:ext>
                </a:extLst>
              </xdr:cNvPr>
              <xdr:cNvSpPr/>
            </xdr:nvSpPr>
            <xdr:spPr bwMode="auto">
              <a:xfrm>
                <a:off x="4467225" y="6076950"/>
                <a:ext cx="85725" cy="85725"/>
              </a:xfrm>
              <a:prstGeom prst="flowChartProcess">
                <a:avLst/>
              </a:prstGeom>
              <a:solidFill>
                <a:srgbClr val="1A2232"/>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05" name="テキスト ボックス 104">
                <a:extLst>
                  <a:ext uri="{FF2B5EF4-FFF2-40B4-BE49-F238E27FC236}">
                    <a16:creationId xmlns:a16="http://schemas.microsoft.com/office/drawing/2014/main" id="{00000000-0008-0000-0900-000069000000}"/>
                  </a:ext>
                </a:extLst>
              </xdr:cNvPr>
              <xdr:cNvSpPr txBox="1"/>
            </xdr:nvSpPr>
            <xdr:spPr>
              <a:xfrm>
                <a:off x="4533899" y="6029325"/>
                <a:ext cx="2722877" cy="2121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メイリオ" panose="020B0604030504040204" pitchFamily="50" charset="-128"/>
                    <a:ea typeface="メイリオ" panose="020B0604030504040204" pitchFamily="50" charset="-128"/>
                  </a:rPr>
                  <a:t>関東・甲信越　</a:t>
                </a:r>
                <a:r>
                  <a:rPr kumimoji="1" lang="en-US" altLang="ja-JP" sz="700">
                    <a:latin typeface="+mj-lt"/>
                    <a:ea typeface="メイリオ" panose="020B0604030504040204" pitchFamily="50" charset="-128"/>
                  </a:rPr>
                  <a:t>Kanto</a:t>
                </a:r>
                <a:r>
                  <a:rPr kumimoji="1" lang="ja-JP" altLang="en-US" sz="700">
                    <a:latin typeface="+mj-lt"/>
                    <a:ea typeface="メイリオ" panose="020B0604030504040204" pitchFamily="50" charset="-128"/>
                  </a:rPr>
                  <a:t>・</a:t>
                </a:r>
                <a:r>
                  <a:rPr kumimoji="1" lang="en-US" altLang="ja-JP" sz="700">
                    <a:latin typeface="+mj-lt"/>
                    <a:ea typeface="メイリオ" panose="020B0604030504040204" pitchFamily="50" charset="-128"/>
                  </a:rPr>
                  <a:t>Koshinetsu</a:t>
                </a:r>
                <a:r>
                  <a:rPr kumimoji="1" lang="ja-JP" altLang="en-US" sz="700">
                    <a:latin typeface="+mj-lt"/>
                    <a:ea typeface="メイリオ" panose="020B0604030504040204" pitchFamily="50" charset="-128"/>
                  </a:rPr>
                  <a:t> </a:t>
                </a:r>
                <a:r>
                  <a:rPr kumimoji="1" lang="en-US" altLang="ja-JP" sz="700">
                    <a:latin typeface="+mj-lt"/>
                    <a:ea typeface="メイリオ" panose="020B0604030504040204" pitchFamily="50" charset="-128"/>
                  </a:rPr>
                  <a:t>37.1%</a:t>
                </a:r>
              </a:p>
            </xdr:txBody>
          </xdr:sp>
        </xdr:grpSp>
        <xdr:grpSp>
          <xdr:nvGrpSpPr>
            <xdr:cNvPr id="95" name="グループ化 94">
              <a:extLst>
                <a:ext uri="{FF2B5EF4-FFF2-40B4-BE49-F238E27FC236}">
                  <a16:creationId xmlns:a16="http://schemas.microsoft.com/office/drawing/2014/main" id="{00000000-0008-0000-0900-00005F000000}"/>
                </a:ext>
              </a:extLst>
            </xdr:cNvPr>
            <xdr:cNvGrpSpPr/>
          </xdr:nvGrpSpPr>
          <xdr:grpSpPr>
            <a:xfrm>
              <a:off x="4467225" y="6534150"/>
              <a:ext cx="2514600" cy="190500"/>
              <a:chOff x="4467225" y="6029325"/>
              <a:chExt cx="2514600" cy="190500"/>
            </a:xfrm>
          </xdr:grpSpPr>
          <xdr:sp macro="" textlink="">
            <xdr:nvSpPr>
              <xdr:cNvPr id="102" name="フローチャート: 処理 101">
                <a:extLst>
                  <a:ext uri="{FF2B5EF4-FFF2-40B4-BE49-F238E27FC236}">
                    <a16:creationId xmlns:a16="http://schemas.microsoft.com/office/drawing/2014/main" id="{00000000-0008-0000-0900-000066000000}"/>
                  </a:ext>
                </a:extLst>
              </xdr:cNvPr>
              <xdr:cNvSpPr/>
            </xdr:nvSpPr>
            <xdr:spPr bwMode="auto">
              <a:xfrm>
                <a:off x="4467225" y="6076950"/>
                <a:ext cx="85725" cy="85725"/>
              </a:xfrm>
              <a:prstGeom prst="flowChartProcess">
                <a:avLst/>
              </a:prstGeom>
              <a:solidFill>
                <a:schemeClr val="bg1">
                  <a:lumMod val="7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03" name="テキスト ボックス 102">
                <a:extLst>
                  <a:ext uri="{FF2B5EF4-FFF2-40B4-BE49-F238E27FC236}">
                    <a16:creationId xmlns:a16="http://schemas.microsoft.com/office/drawing/2014/main" id="{00000000-0008-0000-0900-000067000000}"/>
                  </a:ext>
                </a:extLst>
              </xdr:cNvPr>
              <xdr:cNvSpPr txBox="1"/>
            </xdr:nvSpPr>
            <xdr:spPr>
              <a:xfrm>
                <a:off x="4533900" y="6029325"/>
                <a:ext cx="24479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メイリオ" panose="020B0604030504040204" pitchFamily="50" charset="-128"/>
                    <a:ea typeface="メイリオ" panose="020B0604030504040204" pitchFamily="50" charset="-128"/>
                  </a:rPr>
                  <a:t>中部　</a:t>
                </a:r>
                <a:r>
                  <a:rPr kumimoji="1" lang="en-US" altLang="ja-JP" sz="700">
                    <a:latin typeface="+mj-lt"/>
                    <a:ea typeface="メイリオ" panose="020B0604030504040204" pitchFamily="50" charset="-128"/>
                  </a:rPr>
                  <a:t>Chubu</a:t>
                </a:r>
                <a:r>
                  <a:rPr kumimoji="1" lang="ja-JP" altLang="en-US" sz="700">
                    <a:latin typeface="+mj-lt"/>
                    <a:ea typeface="メイリオ" panose="020B0604030504040204" pitchFamily="50" charset="-128"/>
                  </a:rPr>
                  <a:t> </a:t>
                </a:r>
                <a:r>
                  <a:rPr kumimoji="1" lang="en-US" altLang="ja-JP" sz="700">
                    <a:latin typeface="+mj-lt"/>
                    <a:ea typeface="メイリオ" panose="020B0604030504040204" pitchFamily="50" charset="-128"/>
                  </a:rPr>
                  <a:t>23.2</a:t>
                </a:r>
                <a:r>
                  <a:rPr kumimoji="1" lang="ja-JP" altLang="en-US" sz="700">
                    <a:latin typeface="+mj-lt"/>
                    <a:ea typeface="メイリオ" panose="020B0604030504040204" pitchFamily="50" charset="-128"/>
                  </a:rPr>
                  <a:t>％</a:t>
                </a:r>
                <a:endParaRPr kumimoji="1" lang="en-US" altLang="ja-JP" sz="700">
                  <a:latin typeface="+mj-lt"/>
                  <a:ea typeface="メイリオ" panose="020B0604030504040204" pitchFamily="50" charset="-128"/>
                </a:endParaRPr>
              </a:p>
            </xdr:txBody>
          </xdr:sp>
        </xdr:grpSp>
        <xdr:grpSp>
          <xdr:nvGrpSpPr>
            <xdr:cNvPr id="96" name="グループ化 95">
              <a:extLst>
                <a:ext uri="{FF2B5EF4-FFF2-40B4-BE49-F238E27FC236}">
                  <a16:creationId xmlns:a16="http://schemas.microsoft.com/office/drawing/2014/main" id="{00000000-0008-0000-0900-000060000000}"/>
                </a:ext>
              </a:extLst>
            </xdr:cNvPr>
            <xdr:cNvGrpSpPr/>
          </xdr:nvGrpSpPr>
          <xdr:grpSpPr>
            <a:xfrm>
              <a:off x="4467225" y="6838950"/>
              <a:ext cx="2514600" cy="190500"/>
              <a:chOff x="4467225" y="6029325"/>
              <a:chExt cx="2514600" cy="190500"/>
            </a:xfrm>
          </xdr:grpSpPr>
          <xdr:sp macro="" textlink="">
            <xdr:nvSpPr>
              <xdr:cNvPr id="100" name="フローチャート: 処理 99">
                <a:extLst>
                  <a:ext uri="{FF2B5EF4-FFF2-40B4-BE49-F238E27FC236}">
                    <a16:creationId xmlns:a16="http://schemas.microsoft.com/office/drawing/2014/main" id="{00000000-0008-0000-0900-000064000000}"/>
                  </a:ext>
                </a:extLst>
              </xdr:cNvPr>
              <xdr:cNvSpPr/>
            </xdr:nvSpPr>
            <xdr:spPr bwMode="auto">
              <a:xfrm>
                <a:off x="4467225" y="6076950"/>
                <a:ext cx="85725" cy="85725"/>
              </a:xfrm>
              <a:prstGeom prst="flowChartProcess">
                <a:avLst/>
              </a:prstGeom>
              <a:solidFill>
                <a:schemeClr val="accent5">
                  <a:lumMod val="40000"/>
                  <a:lumOff val="6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01" name="テキスト ボックス 100">
                <a:extLst>
                  <a:ext uri="{FF2B5EF4-FFF2-40B4-BE49-F238E27FC236}">
                    <a16:creationId xmlns:a16="http://schemas.microsoft.com/office/drawing/2014/main" id="{00000000-0008-0000-0900-000065000000}"/>
                  </a:ext>
                </a:extLst>
              </xdr:cNvPr>
              <xdr:cNvSpPr txBox="1"/>
            </xdr:nvSpPr>
            <xdr:spPr>
              <a:xfrm>
                <a:off x="4533900" y="6029325"/>
                <a:ext cx="24479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メイリオ" panose="020B0604030504040204" pitchFamily="50" charset="-128"/>
                    <a:ea typeface="メイリオ" panose="020B0604030504040204" pitchFamily="50" charset="-128"/>
                  </a:rPr>
                  <a:t>中国・四国</a:t>
                </a:r>
                <a:r>
                  <a:rPr kumimoji="1" lang="ja-JP" altLang="en-US" sz="700">
                    <a:latin typeface="+mj-lt"/>
                    <a:ea typeface="メイリオ" panose="020B0604030504040204" pitchFamily="50" charset="-128"/>
                  </a:rPr>
                  <a:t>　</a:t>
                </a:r>
                <a:r>
                  <a:rPr kumimoji="1" lang="en-US" altLang="ja-JP" sz="700">
                    <a:latin typeface="+mj-lt"/>
                    <a:ea typeface="メイリオ" panose="020B0604030504040204" pitchFamily="50" charset="-128"/>
                  </a:rPr>
                  <a:t>Chugoku</a:t>
                </a:r>
                <a:r>
                  <a:rPr kumimoji="1" lang="ja-JP" altLang="en-US" sz="700">
                    <a:latin typeface="+mj-lt"/>
                    <a:ea typeface="メイリオ" panose="020B0604030504040204" pitchFamily="50" charset="-128"/>
                  </a:rPr>
                  <a:t>・</a:t>
                </a:r>
                <a:r>
                  <a:rPr kumimoji="1" lang="en-US" altLang="ja-JP" sz="700">
                    <a:latin typeface="+mj-lt"/>
                    <a:ea typeface="メイリオ" panose="020B0604030504040204" pitchFamily="50" charset="-128"/>
                  </a:rPr>
                  <a:t>Shikoku</a:t>
                </a:r>
                <a:r>
                  <a:rPr kumimoji="1" lang="ja-JP" altLang="en-US" sz="700">
                    <a:latin typeface="+mj-lt"/>
                    <a:ea typeface="メイリオ" panose="020B0604030504040204" pitchFamily="50" charset="-128"/>
                  </a:rPr>
                  <a:t> </a:t>
                </a:r>
                <a:r>
                  <a:rPr kumimoji="1" lang="en-US" altLang="ja-JP" sz="700">
                    <a:latin typeface="+mj-lt"/>
                    <a:ea typeface="メイリオ" panose="020B0604030504040204" pitchFamily="50" charset="-128"/>
                  </a:rPr>
                  <a:t>5.8</a:t>
                </a:r>
                <a:r>
                  <a:rPr kumimoji="1" lang="ja-JP" altLang="en-US" sz="700">
                    <a:latin typeface="+mj-lt"/>
                    <a:ea typeface="メイリオ" panose="020B0604030504040204" pitchFamily="50" charset="-128"/>
                  </a:rPr>
                  <a:t>％</a:t>
                </a:r>
                <a:endParaRPr kumimoji="1" lang="en-US" altLang="ja-JP" sz="700">
                  <a:latin typeface="+mj-lt"/>
                  <a:ea typeface="メイリオ" panose="020B0604030504040204" pitchFamily="50" charset="-128"/>
                </a:endParaRPr>
              </a:p>
            </xdr:txBody>
          </xdr:sp>
        </xdr:grpSp>
        <xdr:grpSp>
          <xdr:nvGrpSpPr>
            <xdr:cNvPr id="97" name="グループ化 96">
              <a:extLst>
                <a:ext uri="{FF2B5EF4-FFF2-40B4-BE49-F238E27FC236}">
                  <a16:creationId xmlns:a16="http://schemas.microsoft.com/office/drawing/2014/main" id="{00000000-0008-0000-0900-000061000000}"/>
                </a:ext>
              </a:extLst>
            </xdr:cNvPr>
            <xdr:cNvGrpSpPr/>
          </xdr:nvGrpSpPr>
          <xdr:grpSpPr>
            <a:xfrm>
              <a:off x="4467225" y="7000875"/>
              <a:ext cx="2514600" cy="190500"/>
              <a:chOff x="4467225" y="6029325"/>
              <a:chExt cx="2514600" cy="190500"/>
            </a:xfrm>
          </xdr:grpSpPr>
          <xdr:sp macro="" textlink="">
            <xdr:nvSpPr>
              <xdr:cNvPr id="98" name="フローチャート: 処理 97">
                <a:extLst>
                  <a:ext uri="{FF2B5EF4-FFF2-40B4-BE49-F238E27FC236}">
                    <a16:creationId xmlns:a16="http://schemas.microsoft.com/office/drawing/2014/main" id="{00000000-0008-0000-0900-000062000000}"/>
                  </a:ext>
                </a:extLst>
              </xdr:cNvPr>
              <xdr:cNvSpPr/>
            </xdr:nvSpPr>
            <xdr:spPr bwMode="auto">
              <a:xfrm>
                <a:off x="4467225" y="6076950"/>
                <a:ext cx="85725" cy="85725"/>
              </a:xfrm>
              <a:prstGeom prst="flowChartProcess">
                <a:avLst/>
              </a:prstGeom>
              <a:solidFill>
                <a:schemeClr val="bg1">
                  <a:lumMod val="5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99" name="テキスト ボックス 98">
                <a:extLst>
                  <a:ext uri="{FF2B5EF4-FFF2-40B4-BE49-F238E27FC236}">
                    <a16:creationId xmlns:a16="http://schemas.microsoft.com/office/drawing/2014/main" id="{00000000-0008-0000-0900-000063000000}"/>
                  </a:ext>
                </a:extLst>
              </xdr:cNvPr>
              <xdr:cNvSpPr txBox="1"/>
            </xdr:nvSpPr>
            <xdr:spPr>
              <a:xfrm>
                <a:off x="4533900" y="6029325"/>
                <a:ext cx="24479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メイリオ" panose="020B0604030504040204" pitchFamily="50" charset="-128"/>
                    <a:ea typeface="メイリオ" panose="020B0604030504040204" pitchFamily="50" charset="-128"/>
                  </a:rPr>
                  <a:t>九州・沖縄　</a:t>
                </a:r>
                <a:r>
                  <a:rPr kumimoji="1" lang="en-US" altLang="ja-JP" sz="700">
                    <a:latin typeface="+mj-lt"/>
                    <a:ea typeface="メイリオ" panose="020B0604030504040204" pitchFamily="50" charset="-128"/>
                  </a:rPr>
                  <a:t>Kyushu</a:t>
                </a:r>
                <a:r>
                  <a:rPr kumimoji="1" lang="ja-JP" altLang="en-US" sz="700">
                    <a:latin typeface="+mj-lt"/>
                    <a:ea typeface="メイリオ" panose="020B0604030504040204" pitchFamily="50" charset="-128"/>
                  </a:rPr>
                  <a:t>・</a:t>
                </a:r>
                <a:r>
                  <a:rPr kumimoji="1" lang="en-US" altLang="ja-JP" sz="700">
                    <a:latin typeface="+mj-lt"/>
                    <a:ea typeface="メイリオ" panose="020B0604030504040204" pitchFamily="50" charset="-128"/>
                  </a:rPr>
                  <a:t>Okinawa</a:t>
                </a:r>
                <a:r>
                  <a:rPr kumimoji="1" lang="ja-JP" altLang="en-US" sz="700">
                    <a:latin typeface="+mj-lt"/>
                    <a:ea typeface="メイリオ" panose="020B0604030504040204" pitchFamily="50" charset="-128"/>
                  </a:rPr>
                  <a:t> </a:t>
                </a:r>
                <a:r>
                  <a:rPr kumimoji="1" lang="en-US" altLang="ja-JP" sz="700">
                    <a:latin typeface="+mj-lt"/>
                    <a:ea typeface="メイリオ" panose="020B0604030504040204" pitchFamily="50" charset="-128"/>
                  </a:rPr>
                  <a:t>9.8</a:t>
                </a:r>
                <a:r>
                  <a:rPr kumimoji="1" lang="ja-JP" altLang="en-US" sz="700">
                    <a:latin typeface="+mj-lt"/>
                    <a:ea typeface="メイリオ" panose="020B0604030504040204" pitchFamily="50" charset="-128"/>
                  </a:rPr>
                  <a:t>％</a:t>
                </a:r>
                <a:endParaRPr kumimoji="1" lang="en-US" altLang="ja-JP" sz="700">
                  <a:latin typeface="+mj-lt"/>
                  <a:ea typeface="メイリオ" panose="020B0604030504040204" pitchFamily="50" charset="-128"/>
                </a:endParaRPr>
              </a:p>
            </xdr:txBody>
          </xdr:sp>
        </xdr:grpSp>
      </xdr:grpSp>
      <xdr:grpSp>
        <xdr:nvGrpSpPr>
          <xdr:cNvPr id="112" name="グループ化 111">
            <a:extLst>
              <a:ext uri="{FF2B5EF4-FFF2-40B4-BE49-F238E27FC236}">
                <a16:creationId xmlns:a16="http://schemas.microsoft.com/office/drawing/2014/main" id="{00000000-0008-0000-0900-000070000000}"/>
              </a:ext>
            </a:extLst>
          </xdr:cNvPr>
          <xdr:cNvGrpSpPr/>
        </xdr:nvGrpSpPr>
        <xdr:grpSpPr>
          <a:xfrm>
            <a:off x="7140576" y="8024661"/>
            <a:ext cx="2120971" cy="187235"/>
            <a:chOff x="4467225" y="6029325"/>
            <a:chExt cx="2792911" cy="190500"/>
          </a:xfrm>
        </xdr:grpSpPr>
        <xdr:sp macro="" textlink="">
          <xdr:nvSpPr>
            <xdr:cNvPr id="113" name="フローチャート: 処理 112">
              <a:extLst>
                <a:ext uri="{FF2B5EF4-FFF2-40B4-BE49-F238E27FC236}">
                  <a16:creationId xmlns:a16="http://schemas.microsoft.com/office/drawing/2014/main" id="{00000000-0008-0000-0900-000071000000}"/>
                </a:ext>
              </a:extLst>
            </xdr:cNvPr>
            <xdr:cNvSpPr/>
          </xdr:nvSpPr>
          <xdr:spPr bwMode="auto">
            <a:xfrm>
              <a:off x="4467225" y="6076950"/>
              <a:ext cx="85725" cy="85725"/>
            </a:xfrm>
            <a:prstGeom prst="flowChartProcess">
              <a:avLst/>
            </a:prstGeom>
            <a:solidFill>
              <a:srgbClr val="E9EBEB"/>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14" name="テキスト ボックス 113">
              <a:extLst>
                <a:ext uri="{FF2B5EF4-FFF2-40B4-BE49-F238E27FC236}">
                  <a16:creationId xmlns:a16="http://schemas.microsoft.com/office/drawing/2014/main" id="{00000000-0008-0000-0900-000072000000}"/>
                </a:ext>
              </a:extLst>
            </xdr:cNvPr>
            <xdr:cNvSpPr txBox="1"/>
          </xdr:nvSpPr>
          <xdr:spPr>
            <a:xfrm>
              <a:off x="4533899" y="6029325"/>
              <a:ext cx="2726237"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j-lt"/>
                  <a:ea typeface="メイリオ" panose="020B0604030504040204" pitchFamily="50" charset="-128"/>
                </a:rPr>
                <a:t>その他　</a:t>
              </a:r>
              <a:r>
                <a:rPr kumimoji="1" lang="en-US" altLang="ja-JP" sz="700">
                  <a:latin typeface="+mj-lt"/>
                  <a:ea typeface="メイリオ" panose="020B0604030504040204" pitchFamily="50" charset="-128"/>
                </a:rPr>
                <a:t>Other</a:t>
              </a:r>
              <a:r>
                <a:rPr kumimoji="1" lang="ja-JP" altLang="en-US" sz="700">
                  <a:latin typeface="+mj-lt"/>
                  <a:ea typeface="メイリオ" panose="020B0604030504040204" pitchFamily="50" charset="-128"/>
                </a:rPr>
                <a:t> </a:t>
              </a:r>
              <a:r>
                <a:rPr kumimoji="1" lang="en-US" altLang="ja-JP" sz="700">
                  <a:latin typeface="+mj-lt"/>
                  <a:ea typeface="メイリオ" panose="020B0604030504040204" pitchFamily="50" charset="-128"/>
                </a:rPr>
                <a:t>0.5</a:t>
              </a:r>
              <a:r>
                <a:rPr kumimoji="1" lang="ja-JP" altLang="en-US" sz="700">
                  <a:latin typeface="+mj-lt"/>
                  <a:ea typeface="メイリオ" panose="020B0604030504040204" pitchFamily="50" charset="-128"/>
                </a:rPr>
                <a:t>％</a:t>
              </a:r>
              <a:endParaRPr kumimoji="1" lang="en-US" altLang="ja-JP" sz="700">
                <a:latin typeface="+mj-lt"/>
                <a:ea typeface="メイリオ" panose="020B0604030504040204" pitchFamily="50" charset="-128"/>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26</xdr:col>
      <xdr:colOff>0</xdr:colOff>
      <xdr:row>3</xdr:row>
      <xdr:rowOff>0</xdr:rowOff>
    </xdr:from>
    <xdr:to>
      <xdr:col>26</xdr:col>
      <xdr:colOff>0</xdr:colOff>
      <xdr:row>3</xdr:row>
      <xdr:rowOff>0</xdr:rowOff>
    </xdr:to>
    <xdr:sp macro="" textlink="">
      <xdr:nvSpPr>
        <xdr:cNvPr id="3" name="AutoShape 7">
          <a:extLst>
            <a:ext uri="{FF2B5EF4-FFF2-40B4-BE49-F238E27FC236}">
              <a16:creationId xmlns:a16="http://schemas.microsoft.com/office/drawing/2014/main" id="{00000000-0008-0000-0A00-000008D41500}"/>
            </a:ext>
          </a:extLst>
        </xdr:cNvPr>
        <xdr:cNvSpPr>
          <a:spLocks/>
        </xdr:cNvSpPr>
      </xdr:nvSpPr>
      <xdr:spPr bwMode="auto">
        <a:xfrm>
          <a:off x="11572875" y="1152525"/>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4" name="Line 8">
          <a:extLst>
            <a:ext uri="{FF2B5EF4-FFF2-40B4-BE49-F238E27FC236}">
              <a16:creationId xmlns:a16="http://schemas.microsoft.com/office/drawing/2014/main" id="{00000000-0008-0000-0A00-000009D41500}"/>
            </a:ext>
          </a:extLst>
        </xdr:cNvPr>
        <xdr:cNvSpPr>
          <a:spLocks noChangeShapeType="1"/>
        </xdr:cNvSpPr>
      </xdr:nvSpPr>
      <xdr:spPr bwMode="auto">
        <a:xfrm flipV="1">
          <a:off x="11572875" y="1152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5" name="AutoShape 9">
          <a:extLst>
            <a:ext uri="{FF2B5EF4-FFF2-40B4-BE49-F238E27FC236}">
              <a16:creationId xmlns:a16="http://schemas.microsoft.com/office/drawing/2014/main" id="{00000000-0008-0000-0A00-00000AD41500}"/>
            </a:ext>
          </a:extLst>
        </xdr:cNvPr>
        <xdr:cNvSpPr>
          <a:spLocks/>
        </xdr:cNvSpPr>
      </xdr:nvSpPr>
      <xdr:spPr bwMode="auto">
        <a:xfrm>
          <a:off x="11572875" y="1152525"/>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6" name="Line 10">
          <a:extLst>
            <a:ext uri="{FF2B5EF4-FFF2-40B4-BE49-F238E27FC236}">
              <a16:creationId xmlns:a16="http://schemas.microsoft.com/office/drawing/2014/main" id="{00000000-0008-0000-0A00-00000BD41500}"/>
            </a:ext>
          </a:extLst>
        </xdr:cNvPr>
        <xdr:cNvSpPr>
          <a:spLocks noChangeShapeType="1"/>
        </xdr:cNvSpPr>
      </xdr:nvSpPr>
      <xdr:spPr bwMode="auto">
        <a:xfrm flipV="1">
          <a:off x="11572875" y="1152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7" name="Line 11">
          <a:extLst>
            <a:ext uri="{FF2B5EF4-FFF2-40B4-BE49-F238E27FC236}">
              <a16:creationId xmlns:a16="http://schemas.microsoft.com/office/drawing/2014/main" id="{00000000-0008-0000-0A00-00000CD41500}"/>
            </a:ext>
          </a:extLst>
        </xdr:cNvPr>
        <xdr:cNvSpPr>
          <a:spLocks noChangeShapeType="1"/>
        </xdr:cNvSpPr>
      </xdr:nvSpPr>
      <xdr:spPr bwMode="auto">
        <a:xfrm flipV="1">
          <a:off x="11572875" y="1152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142875</xdr:colOff>
      <xdr:row>32</xdr:row>
      <xdr:rowOff>0</xdr:rowOff>
    </xdr:from>
    <xdr:to>
      <xdr:col>0</xdr:col>
      <xdr:colOff>85725</xdr:colOff>
      <xdr:row>32</xdr:row>
      <xdr:rowOff>0</xdr:rowOff>
    </xdr:to>
    <xdr:sp macro="" textlink="">
      <xdr:nvSpPr>
        <xdr:cNvPr id="8" name="Line 12">
          <a:extLst>
            <a:ext uri="{FF2B5EF4-FFF2-40B4-BE49-F238E27FC236}">
              <a16:creationId xmlns:a16="http://schemas.microsoft.com/office/drawing/2014/main" id="{00000000-0008-0000-0A00-00000DD41500}"/>
            </a:ext>
          </a:extLst>
        </xdr:cNvPr>
        <xdr:cNvSpPr>
          <a:spLocks noChangeShapeType="1"/>
        </xdr:cNvSpPr>
      </xdr:nvSpPr>
      <xdr:spPr bwMode="auto">
        <a:xfrm>
          <a:off x="142875" y="7239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0</xdr:colOff>
      <xdr:row>3</xdr:row>
      <xdr:rowOff>0</xdr:rowOff>
    </xdr:from>
    <xdr:to>
      <xdr:col>26</xdr:col>
      <xdr:colOff>0</xdr:colOff>
      <xdr:row>3</xdr:row>
      <xdr:rowOff>0</xdr:rowOff>
    </xdr:to>
    <xdr:sp macro="" textlink="">
      <xdr:nvSpPr>
        <xdr:cNvPr id="9" name="AutoShape 14">
          <a:extLst>
            <a:ext uri="{FF2B5EF4-FFF2-40B4-BE49-F238E27FC236}">
              <a16:creationId xmlns:a16="http://schemas.microsoft.com/office/drawing/2014/main" id="{00000000-0008-0000-0A00-00000ED41500}"/>
            </a:ext>
          </a:extLst>
        </xdr:cNvPr>
        <xdr:cNvSpPr>
          <a:spLocks/>
        </xdr:cNvSpPr>
      </xdr:nvSpPr>
      <xdr:spPr bwMode="auto">
        <a:xfrm>
          <a:off x="11572875" y="1152525"/>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601239</xdr:colOff>
      <xdr:row>34</xdr:row>
      <xdr:rowOff>30548</xdr:rowOff>
    </xdr:from>
    <xdr:to>
      <xdr:col>14</xdr:col>
      <xdr:colOff>321090</xdr:colOff>
      <xdr:row>42</xdr:row>
      <xdr:rowOff>163776</xdr:rowOff>
    </xdr:to>
    <xdr:graphicFrame macro="">
      <xdr:nvGraphicFramePr>
        <xdr:cNvPr id="10" name="グラフ 17">
          <a:extLst>
            <a:ext uri="{FF2B5EF4-FFF2-40B4-BE49-F238E27FC236}">
              <a16:creationId xmlns:a16="http://schemas.microsoft.com/office/drawing/2014/main" id="{00000000-0008-0000-0A00-000011D41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63501</xdr:colOff>
      <xdr:row>3</xdr:row>
      <xdr:rowOff>500063</xdr:rowOff>
    </xdr:from>
    <xdr:to>
      <xdr:col>10</xdr:col>
      <xdr:colOff>287074</xdr:colOff>
      <xdr:row>4</xdr:row>
      <xdr:rowOff>235168</xdr:rowOff>
    </xdr:to>
    <xdr:sp macro="" textlink="">
      <xdr:nvSpPr>
        <xdr:cNvPr id="11" name="Text Box 46">
          <a:extLst>
            <a:ext uri="{FF2B5EF4-FFF2-40B4-BE49-F238E27FC236}">
              <a16:creationId xmlns:a16="http://schemas.microsoft.com/office/drawing/2014/main" id="{00000000-0008-0000-0A00-000013000000}"/>
            </a:ext>
          </a:extLst>
        </xdr:cNvPr>
        <xdr:cNvSpPr txBox="1">
          <a:spLocks noChangeArrowheads="1"/>
        </xdr:cNvSpPr>
      </xdr:nvSpPr>
      <xdr:spPr bwMode="auto">
        <a:xfrm>
          <a:off x="796926" y="1385888"/>
          <a:ext cx="4814623" cy="239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1050" b="1" i="0" u="none" strike="noStrike" baseline="0">
              <a:solidFill>
                <a:srgbClr val="004098"/>
              </a:solidFill>
              <a:latin typeface="メイリオ" panose="020B0604030504040204" pitchFamily="50" charset="-128"/>
              <a:ea typeface="メイリオ" panose="020B0604030504040204" pitchFamily="50" charset="-128"/>
            </a:rPr>
            <a:t>二輪新車販売台数の推移　</a:t>
          </a:r>
          <a:r>
            <a:rPr lang="en-US" altLang="ja-JP" sz="1050" b="0" i="0" u="none" strike="noStrike" baseline="0">
              <a:solidFill>
                <a:srgbClr val="004098"/>
              </a:solidFill>
              <a:latin typeface="メイリオ" panose="020B0604030504040204" pitchFamily="50" charset="-128"/>
              <a:ea typeface="メイリオ" panose="020B0604030504040204" pitchFamily="50" charset="-128"/>
            </a:rPr>
            <a:t>No.</a:t>
          </a:r>
          <a:r>
            <a:rPr lang="en-US" altLang="ja-JP" sz="1000" b="0" i="0" u="none" strike="noStrike" baseline="0">
              <a:solidFill>
                <a:srgbClr val="004098"/>
              </a:solidFill>
              <a:latin typeface="+mj-lt"/>
              <a:ea typeface="メイリオ" panose="020B0604030504040204" pitchFamily="50" charset="-128"/>
            </a:rPr>
            <a:t> of Motorcycles for Sale</a:t>
          </a:r>
        </a:p>
      </xdr:txBody>
    </xdr:sp>
    <xdr:clientData/>
  </xdr:twoCellAnchor>
  <xdr:twoCellAnchor>
    <xdr:from>
      <xdr:col>0</xdr:col>
      <xdr:colOff>572635</xdr:colOff>
      <xdr:row>34</xdr:row>
      <xdr:rowOff>137777</xdr:rowOff>
    </xdr:from>
    <xdr:to>
      <xdr:col>3</xdr:col>
      <xdr:colOff>181544</xdr:colOff>
      <xdr:row>35</xdr:row>
      <xdr:rowOff>102851</xdr:rowOff>
    </xdr:to>
    <xdr:sp macro="" textlink="">
      <xdr:nvSpPr>
        <xdr:cNvPr id="12" name="Text Box 46">
          <a:extLst>
            <a:ext uri="{FF2B5EF4-FFF2-40B4-BE49-F238E27FC236}">
              <a16:creationId xmlns:a16="http://schemas.microsoft.com/office/drawing/2014/main" id="{00000000-0008-0000-0A00-000014000000}"/>
            </a:ext>
          </a:extLst>
        </xdr:cNvPr>
        <xdr:cNvSpPr txBox="1">
          <a:spLocks noChangeArrowheads="1"/>
        </xdr:cNvSpPr>
      </xdr:nvSpPr>
      <xdr:spPr bwMode="auto">
        <a:xfrm>
          <a:off x="572635" y="5642570"/>
          <a:ext cx="1310271" cy="116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en-US" altLang="ja-JP" sz="7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700" b="0" i="0" u="none" strike="noStrike" baseline="0">
              <a:solidFill>
                <a:srgbClr val="000000"/>
              </a:solidFill>
              <a:latin typeface="メイリオ" panose="020B0604030504040204" pitchFamily="50" charset="-128"/>
              <a:ea typeface="メイリオ" panose="020B0604030504040204" pitchFamily="50" charset="-128"/>
            </a:rPr>
            <a:t>千台　</a:t>
          </a:r>
          <a:r>
            <a:rPr lang="en-US" altLang="ja-JP" sz="700" b="0" i="0" u="none" strike="noStrike" baseline="0">
              <a:solidFill>
                <a:srgbClr val="000000"/>
              </a:solidFill>
              <a:latin typeface="+mj-lt"/>
              <a:ea typeface="メイリオ" panose="020B0604030504040204" pitchFamily="50" charset="-128"/>
              <a:cs typeface="Calibri" panose="020F0502020204030204" pitchFamily="34" charset="0"/>
            </a:rPr>
            <a:t>Thousand Vehicles</a:t>
          </a:r>
          <a:r>
            <a:rPr lang="en-US" altLang="ja-JP" sz="7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0</xdr:col>
      <xdr:colOff>606240</xdr:colOff>
      <xdr:row>33</xdr:row>
      <xdr:rowOff>36760</xdr:rowOff>
    </xdr:from>
    <xdr:to>
      <xdr:col>10</xdr:col>
      <xdr:colOff>185288</xdr:colOff>
      <xdr:row>35</xdr:row>
      <xdr:rowOff>8588</xdr:rowOff>
    </xdr:to>
    <xdr:sp macro="" textlink="">
      <xdr:nvSpPr>
        <xdr:cNvPr id="13" name="Text Box 46">
          <a:extLst>
            <a:ext uri="{FF2B5EF4-FFF2-40B4-BE49-F238E27FC236}">
              <a16:creationId xmlns:a16="http://schemas.microsoft.com/office/drawing/2014/main" id="{00000000-0008-0000-0A00-000016000000}"/>
            </a:ext>
          </a:extLst>
        </xdr:cNvPr>
        <xdr:cNvSpPr txBox="1">
          <a:spLocks noChangeArrowheads="1"/>
        </xdr:cNvSpPr>
      </xdr:nvSpPr>
      <xdr:spPr bwMode="auto">
        <a:xfrm>
          <a:off x="606240" y="5390467"/>
          <a:ext cx="4847358" cy="27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900" b="1" i="0" u="none" strike="noStrike" baseline="0">
              <a:solidFill>
                <a:srgbClr val="000000"/>
              </a:solidFill>
              <a:latin typeface="メイリオ" panose="020B0604030504040204" pitchFamily="50" charset="-128"/>
              <a:ea typeface="メイリオ" panose="020B0604030504040204" pitchFamily="50" charset="-128"/>
            </a:rPr>
            <a:t>二輪新車販売台数の推移　</a:t>
          </a:r>
          <a:r>
            <a:rPr lang="en-US" altLang="ja-JP" sz="800" b="0" i="0" u="none" strike="noStrike" baseline="0">
              <a:solidFill>
                <a:srgbClr val="000000"/>
              </a:solidFill>
              <a:latin typeface="+mj-lt"/>
              <a:ea typeface="メイリオ" panose="020B0604030504040204" pitchFamily="50" charset="-128"/>
            </a:rPr>
            <a:t>No. of Motorcycles for Sale</a:t>
          </a:r>
        </a:p>
      </xdr:txBody>
    </xdr:sp>
    <xdr:clientData/>
  </xdr:twoCellAnchor>
  <xdr:twoCellAnchor>
    <xdr:from>
      <xdr:col>0</xdr:col>
      <xdr:colOff>714376</xdr:colOff>
      <xdr:row>11</xdr:row>
      <xdr:rowOff>100853</xdr:rowOff>
    </xdr:from>
    <xdr:to>
      <xdr:col>21</xdr:col>
      <xdr:colOff>161069</xdr:colOff>
      <xdr:row>23</xdr:row>
      <xdr:rowOff>5884</xdr:rowOff>
    </xdr:to>
    <xdr:sp macro="" textlink="">
      <xdr:nvSpPr>
        <xdr:cNvPr id="14" name="Text Box 46">
          <a:extLst>
            <a:ext uri="{FF2B5EF4-FFF2-40B4-BE49-F238E27FC236}">
              <a16:creationId xmlns:a16="http://schemas.microsoft.com/office/drawing/2014/main" id="{00000000-0008-0000-0A00-000017000000}"/>
            </a:ext>
          </a:extLst>
        </xdr:cNvPr>
        <xdr:cNvSpPr txBox="1">
          <a:spLocks noChangeArrowheads="1"/>
        </xdr:cNvSpPr>
      </xdr:nvSpPr>
      <xdr:spPr bwMode="auto">
        <a:xfrm>
          <a:off x="714376" y="3092824"/>
          <a:ext cx="9094958" cy="3868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1050" b="1" i="0" u="none" strike="noStrike" baseline="0">
              <a:solidFill>
                <a:srgbClr val="004098"/>
              </a:solidFill>
              <a:latin typeface="メイリオ" panose="020B0604030504040204" pitchFamily="50" charset="-128"/>
              <a:ea typeface="メイリオ" panose="020B0604030504040204" pitchFamily="50" charset="-128"/>
            </a:rPr>
            <a:t>バイクオークション</a:t>
          </a:r>
          <a:r>
            <a:rPr lang="ja-JP" altLang="en-US" sz="1100" b="1" i="0" u="none" strike="noStrike" baseline="0">
              <a:solidFill>
                <a:srgbClr val="004098"/>
              </a:solidFill>
              <a:latin typeface="メイリオ" panose="020B0604030504040204" pitchFamily="50" charset="-128"/>
              <a:ea typeface="メイリオ" panose="020B0604030504040204" pitchFamily="50" charset="-128"/>
            </a:rPr>
            <a:t>業界出品台数および</a:t>
          </a:r>
          <a:r>
            <a:rPr lang="en-US" altLang="ja-JP" sz="1100" b="1" i="0" u="none" strike="noStrike" baseline="0">
              <a:solidFill>
                <a:srgbClr val="004098"/>
              </a:solidFill>
              <a:latin typeface="メイリオ" panose="020B0604030504040204" pitchFamily="50" charset="-128"/>
              <a:ea typeface="メイリオ" panose="020B0604030504040204" pitchFamily="50" charset="-128"/>
            </a:rPr>
            <a:t>JBA</a:t>
          </a:r>
          <a:r>
            <a:rPr lang="ja-JP" altLang="en-US" sz="1100" b="1" i="0" u="none" strike="noStrike" baseline="0">
              <a:solidFill>
                <a:srgbClr val="004098"/>
              </a:solidFill>
              <a:latin typeface="メイリオ" panose="020B0604030504040204" pitchFamily="50" charset="-128"/>
              <a:ea typeface="メイリオ" panose="020B0604030504040204" pitchFamily="50" charset="-128"/>
            </a:rPr>
            <a:t>出品台数の推移　</a:t>
          </a:r>
          <a:r>
            <a:rPr lang="en-US" altLang="ja-JP" sz="1050" b="0" i="0" u="none" strike="noStrike" baseline="0">
              <a:solidFill>
                <a:srgbClr val="004098"/>
              </a:solidFill>
              <a:latin typeface="+mj-lt"/>
              <a:ea typeface="メイリオ" panose="020B0604030504040204" pitchFamily="50" charset="-128"/>
            </a:rPr>
            <a:t>No. of Motorcycles Consigned</a:t>
          </a:r>
        </a:p>
      </xdr:txBody>
    </xdr:sp>
    <xdr:clientData/>
  </xdr:twoCellAnchor>
  <xdr:twoCellAnchor>
    <xdr:from>
      <xdr:col>13</xdr:col>
      <xdr:colOff>333376</xdr:colOff>
      <xdr:row>33</xdr:row>
      <xdr:rowOff>50156</xdr:rowOff>
    </xdr:from>
    <xdr:to>
      <xdr:col>26</xdr:col>
      <xdr:colOff>62023</xdr:colOff>
      <xdr:row>35</xdr:row>
      <xdr:rowOff>23386</xdr:rowOff>
    </xdr:to>
    <xdr:sp macro="" textlink="">
      <xdr:nvSpPr>
        <xdr:cNvPr id="15" name="Text Box 46">
          <a:extLst>
            <a:ext uri="{FF2B5EF4-FFF2-40B4-BE49-F238E27FC236}">
              <a16:creationId xmlns:a16="http://schemas.microsoft.com/office/drawing/2014/main" id="{00000000-0008-0000-0A00-000019000000}"/>
            </a:ext>
          </a:extLst>
        </xdr:cNvPr>
        <xdr:cNvSpPr txBox="1">
          <a:spLocks noChangeArrowheads="1"/>
        </xdr:cNvSpPr>
      </xdr:nvSpPr>
      <xdr:spPr bwMode="auto">
        <a:xfrm>
          <a:off x="6766414" y="5413464"/>
          <a:ext cx="4776897" cy="2809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en-US" altLang="ja-JP" sz="900" b="1" i="0" u="none" strike="noStrike" baseline="0">
              <a:solidFill>
                <a:srgbClr val="000000"/>
              </a:solidFill>
              <a:latin typeface="メイリオ" panose="020B0604030504040204" pitchFamily="50" charset="-128"/>
              <a:ea typeface="メイリオ" panose="020B0604030504040204" pitchFamily="50" charset="-128"/>
            </a:rPr>
            <a:t>JBA</a:t>
          </a:r>
          <a:r>
            <a:rPr lang="ja-JP" altLang="en-US" sz="900" b="1" i="0" u="none" strike="noStrike" baseline="0">
              <a:solidFill>
                <a:srgbClr val="000000"/>
              </a:solidFill>
              <a:latin typeface="メイリオ" panose="020B0604030504040204" pitchFamily="50" charset="-128"/>
              <a:ea typeface="メイリオ" panose="020B0604030504040204" pitchFamily="50" charset="-128"/>
            </a:rPr>
            <a:t>シェア推移　</a:t>
          </a:r>
          <a:r>
            <a:rPr lang="en-US" altLang="ja-JP" sz="800" b="0" i="0" u="none" strike="noStrike" baseline="0">
              <a:solidFill>
                <a:srgbClr val="000000"/>
              </a:solidFill>
              <a:latin typeface="+mj-lt"/>
              <a:ea typeface="メイリオ" panose="020B0604030504040204" pitchFamily="50" charset="-128"/>
            </a:rPr>
            <a:t>JBA's Share of Motorcycle Industry</a:t>
          </a:r>
        </a:p>
      </xdr:txBody>
    </xdr:sp>
    <xdr:clientData/>
  </xdr:twoCellAnchor>
  <xdr:twoCellAnchor>
    <xdr:from>
      <xdr:col>12</xdr:col>
      <xdr:colOff>69862</xdr:colOff>
      <xdr:row>41</xdr:row>
      <xdr:rowOff>139379</xdr:rowOff>
    </xdr:from>
    <xdr:to>
      <xdr:col>13</xdr:col>
      <xdr:colOff>228889</xdr:colOff>
      <xdr:row>42</xdr:row>
      <xdr:rowOff>95250</xdr:rowOff>
    </xdr:to>
    <xdr:sp macro="" textlink="">
      <xdr:nvSpPr>
        <xdr:cNvPr id="16" name="Text Box 17">
          <a:extLst>
            <a:ext uri="{FF2B5EF4-FFF2-40B4-BE49-F238E27FC236}">
              <a16:creationId xmlns:a16="http://schemas.microsoft.com/office/drawing/2014/main" id="{00000000-0008-0000-0A00-00001A000000}"/>
            </a:ext>
          </a:extLst>
        </xdr:cNvPr>
        <xdr:cNvSpPr txBox="1">
          <a:spLocks noChangeArrowheads="1"/>
        </xdr:cNvSpPr>
      </xdr:nvSpPr>
      <xdr:spPr bwMode="auto">
        <a:xfrm>
          <a:off x="6158535" y="7012033"/>
          <a:ext cx="547354" cy="183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600" b="0" i="0" u="none" strike="noStrike" baseline="0">
              <a:solidFill>
                <a:srgbClr val="000000"/>
              </a:solidFill>
              <a:latin typeface="メイリオ" panose="020B0604030504040204" pitchFamily="50" charset="-128"/>
              <a:ea typeface="メイリオ" panose="020B0604030504040204" pitchFamily="50" charset="-128"/>
            </a:rPr>
            <a:t>暦年</a:t>
          </a:r>
          <a:r>
            <a:rPr lang="ja-JP" altLang="en-US" sz="600" b="0" i="0" u="none" strike="noStrike" baseline="0">
              <a:solidFill>
                <a:srgbClr val="000000"/>
              </a:solidFill>
              <a:latin typeface="+mn-lt"/>
              <a:ea typeface="メイリオ" panose="020B0604030504040204" pitchFamily="50" charset="-128"/>
            </a:rPr>
            <a:t>　</a:t>
          </a:r>
          <a:r>
            <a:rPr lang="en-US" altLang="ja-JP" sz="600" b="0" i="0" u="none" strike="noStrike" baseline="0">
              <a:solidFill>
                <a:srgbClr val="000000"/>
              </a:solidFill>
              <a:latin typeface="+mn-lt"/>
              <a:ea typeface="メイリオ" panose="020B0604030504040204" pitchFamily="50" charset="-128"/>
            </a:rPr>
            <a:t>CY</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13</xdr:col>
      <xdr:colOff>288234</xdr:colOff>
      <xdr:row>34</xdr:row>
      <xdr:rowOff>107156</xdr:rowOff>
    </xdr:from>
    <xdr:to>
      <xdr:col>14</xdr:col>
      <xdr:colOff>119062</xdr:colOff>
      <xdr:row>35</xdr:row>
      <xdr:rowOff>112570</xdr:rowOff>
    </xdr:to>
    <xdr:sp macro="" textlink="">
      <xdr:nvSpPr>
        <xdr:cNvPr id="17" name="Text Box 46">
          <a:extLst>
            <a:ext uri="{FF2B5EF4-FFF2-40B4-BE49-F238E27FC236}">
              <a16:creationId xmlns:a16="http://schemas.microsoft.com/office/drawing/2014/main" id="{00000000-0008-0000-0A00-00001B000000}"/>
            </a:ext>
          </a:extLst>
        </xdr:cNvPr>
        <xdr:cNvSpPr txBox="1">
          <a:spLocks noChangeArrowheads="1"/>
        </xdr:cNvSpPr>
      </xdr:nvSpPr>
      <xdr:spPr bwMode="auto">
        <a:xfrm>
          <a:off x="6753328" y="5625703"/>
          <a:ext cx="223734" cy="1601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en-US" altLang="ja-JP" sz="600" b="0" i="0" u="none" strike="noStrike" baseline="0">
              <a:solidFill>
                <a:srgbClr val="000000"/>
              </a:solidFill>
              <a:latin typeface="+mj-lt"/>
              <a:ea typeface="メイリオ" panose="020B0604030504040204" pitchFamily="50" charset="-128"/>
            </a:rPr>
            <a:t>(</a:t>
          </a:r>
          <a:r>
            <a:rPr lang="ja-JP" altLang="en-US" sz="600" b="0" i="0" u="none" strike="noStrike" baseline="0">
              <a:solidFill>
                <a:srgbClr val="000000"/>
              </a:solidFill>
              <a:latin typeface="+mj-lt"/>
              <a:ea typeface="メイリオ" panose="020B0604030504040204" pitchFamily="50" charset="-128"/>
            </a:rPr>
            <a:t>％</a:t>
          </a:r>
          <a:r>
            <a:rPr lang="en-US" altLang="ja-JP" sz="600" b="0" i="0" u="none" strike="noStrike" baseline="0">
              <a:solidFill>
                <a:srgbClr val="000000"/>
              </a:solidFill>
              <a:latin typeface="+mj-lt"/>
              <a:ea typeface="メイリオ" panose="020B0604030504040204" pitchFamily="50" charset="-128"/>
            </a:rPr>
            <a:t>)</a:t>
          </a:r>
        </a:p>
      </xdr:txBody>
    </xdr:sp>
    <xdr:clientData/>
  </xdr:twoCellAnchor>
  <xdr:twoCellAnchor>
    <xdr:from>
      <xdr:col>0</xdr:col>
      <xdr:colOff>543770</xdr:colOff>
      <xdr:row>1</xdr:row>
      <xdr:rowOff>108724</xdr:rowOff>
    </xdr:from>
    <xdr:to>
      <xdr:col>19</xdr:col>
      <xdr:colOff>70899</xdr:colOff>
      <xdr:row>3</xdr:row>
      <xdr:rowOff>88180</xdr:rowOff>
    </xdr:to>
    <xdr:sp macro="" textlink="">
      <xdr:nvSpPr>
        <xdr:cNvPr id="18" name="テキスト ボックス 17">
          <a:extLst>
            <a:ext uri="{FF2B5EF4-FFF2-40B4-BE49-F238E27FC236}">
              <a16:creationId xmlns:a16="http://schemas.microsoft.com/office/drawing/2014/main" id="{00000000-0008-0000-0A00-00001C000000}"/>
            </a:ext>
          </a:extLst>
        </xdr:cNvPr>
        <xdr:cNvSpPr txBox="1"/>
      </xdr:nvSpPr>
      <xdr:spPr>
        <a:xfrm>
          <a:off x="543770" y="848312"/>
          <a:ext cx="8346158" cy="394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（７）二輪車業界関連指標の推移（暦年）　</a:t>
          </a:r>
          <a:r>
            <a:rPr kumimoji="1" lang="en-US" altLang="ja-JP" sz="1100" b="0">
              <a:latin typeface="+mj-lt"/>
              <a:ea typeface="メイリオ" panose="020B0604030504040204" pitchFamily="50" charset="-128"/>
            </a:rPr>
            <a:t>Motorcycle Industry Statistics (Calendar Year)</a:t>
          </a:r>
          <a:endParaRPr kumimoji="1" lang="ja-JP" altLang="en-US" sz="1200" b="0">
            <a:latin typeface="+mj-lt"/>
            <a:ea typeface="メイリオ" panose="020B0604030504040204" pitchFamily="50" charset="-128"/>
          </a:endParaRPr>
        </a:p>
      </xdr:txBody>
    </xdr:sp>
    <xdr:clientData/>
  </xdr:twoCellAnchor>
  <xdr:twoCellAnchor>
    <xdr:from>
      <xdr:col>24</xdr:col>
      <xdr:colOff>134470</xdr:colOff>
      <xdr:row>1</xdr:row>
      <xdr:rowOff>172624</xdr:rowOff>
    </xdr:from>
    <xdr:to>
      <xdr:col>27</xdr:col>
      <xdr:colOff>336043</xdr:colOff>
      <xdr:row>4</xdr:row>
      <xdr:rowOff>6270</xdr:rowOff>
    </xdr:to>
    <xdr:sp macro="" textlink="">
      <xdr:nvSpPr>
        <xdr:cNvPr id="20" name="テキスト ボックス 19">
          <a:extLst>
            <a:ext uri="{FF2B5EF4-FFF2-40B4-BE49-F238E27FC236}">
              <a16:creationId xmlns:a16="http://schemas.microsoft.com/office/drawing/2014/main" id="{00000000-0008-0000-0A00-00001E000000}"/>
            </a:ext>
          </a:extLst>
        </xdr:cNvPr>
        <xdr:cNvSpPr txBox="1"/>
      </xdr:nvSpPr>
      <xdr:spPr>
        <a:xfrm>
          <a:off x="10914529" y="912212"/>
          <a:ext cx="1378190" cy="405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50" b="1">
              <a:solidFill>
                <a:srgbClr val="BDC3C4"/>
              </a:solidFill>
              <a:latin typeface="メイリオ" panose="020B0604030504040204" pitchFamily="50" charset="-128"/>
              <a:ea typeface="メイリオ" panose="020B0604030504040204" pitchFamily="50" charset="-128"/>
            </a:rPr>
            <a:t>Ⅱ-1.</a:t>
          </a:r>
          <a:r>
            <a:rPr kumimoji="1" lang="ja-JP" altLang="en-US" sz="1050" b="1">
              <a:solidFill>
                <a:srgbClr val="BDC3C4"/>
              </a:solidFill>
              <a:latin typeface="メイリオ" panose="020B0604030504040204" pitchFamily="50" charset="-128"/>
              <a:ea typeface="メイリオ" panose="020B0604030504040204" pitchFamily="50" charset="-128"/>
            </a:rPr>
            <a:t>業界データ</a:t>
          </a:r>
        </a:p>
      </xdr:txBody>
    </xdr:sp>
    <xdr:clientData/>
  </xdr:twoCellAnchor>
  <xdr:twoCellAnchor>
    <xdr:from>
      <xdr:col>26</xdr:col>
      <xdr:colOff>170715</xdr:colOff>
      <xdr:row>41</xdr:row>
      <xdr:rowOff>80596</xdr:rowOff>
    </xdr:from>
    <xdr:to>
      <xdr:col>27</xdr:col>
      <xdr:colOff>260753</xdr:colOff>
      <xdr:row>42</xdr:row>
      <xdr:rowOff>51719</xdr:rowOff>
    </xdr:to>
    <xdr:sp macro="" textlink="">
      <xdr:nvSpPr>
        <xdr:cNvPr id="21" name="Text Box 17">
          <a:extLst>
            <a:ext uri="{FF2B5EF4-FFF2-40B4-BE49-F238E27FC236}">
              <a16:creationId xmlns:a16="http://schemas.microsoft.com/office/drawing/2014/main" id="{00000000-0008-0000-0A00-00001F000000}"/>
            </a:ext>
          </a:extLst>
        </xdr:cNvPr>
        <xdr:cNvSpPr txBox="1">
          <a:spLocks noChangeArrowheads="1"/>
        </xdr:cNvSpPr>
      </xdr:nvSpPr>
      <xdr:spPr bwMode="auto">
        <a:xfrm>
          <a:off x="11652003" y="6953250"/>
          <a:ext cx="478365" cy="198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600" b="0" i="0" u="none" strike="noStrike" baseline="0">
              <a:solidFill>
                <a:srgbClr val="000000"/>
              </a:solidFill>
              <a:latin typeface="メイリオ" panose="020B0604030504040204" pitchFamily="50" charset="-128"/>
              <a:ea typeface="メイリオ" panose="020B0604030504040204" pitchFamily="50" charset="-128"/>
            </a:rPr>
            <a:t>暦年　</a:t>
          </a:r>
          <a:r>
            <a:rPr lang="en-US" altLang="ja-JP" sz="600" b="0" i="0" u="none" strike="noStrike" baseline="0">
              <a:solidFill>
                <a:srgbClr val="000000"/>
              </a:solidFill>
              <a:latin typeface="+mn-lt"/>
              <a:ea typeface="メイリオ" panose="020B0604030504040204" pitchFamily="50" charset="-128"/>
            </a:rPr>
            <a:t>CY</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12</xdr:col>
      <xdr:colOff>251411</xdr:colOff>
      <xdr:row>34</xdr:row>
      <xdr:rowOff>104236</xdr:rowOff>
    </xdr:from>
    <xdr:to>
      <xdr:col>26</xdr:col>
      <xdr:colOff>168814</xdr:colOff>
      <xdr:row>42</xdr:row>
      <xdr:rowOff>48528</xdr:rowOff>
    </xdr:to>
    <xdr:graphicFrame macro="">
      <xdr:nvGraphicFramePr>
        <xdr:cNvPr id="2" name="グラフ 1">
          <a:extLst>
            <a:ext uri="{FF2B5EF4-FFF2-40B4-BE49-F238E27FC236}">
              <a16:creationId xmlns:a16="http://schemas.microsoft.com/office/drawing/2014/main" id="{00000000-0008-0000-0A00-000001D41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0.81432</cdr:x>
      <cdr:y>0.06585</cdr:y>
    </cdr:from>
    <cdr:to>
      <cdr:x>0.81432</cdr:x>
      <cdr:y>0.06585</cdr:y>
    </cdr:to>
    <cdr:sp macro="" textlink="">
      <cdr:nvSpPr>
        <cdr:cNvPr id="741377" name="Text Box 1"/>
        <cdr:cNvSpPr txBox="1">
          <a:spLocks xmlns:a="http://schemas.openxmlformats.org/drawingml/2006/main" noChangeArrowheads="1"/>
        </cdr:cNvSpPr>
      </cdr:nvSpPr>
      <cdr:spPr bwMode="auto">
        <a:xfrm xmlns:a="http://schemas.openxmlformats.org/drawingml/2006/main">
          <a:off x="8007795" y="164214"/>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680" b="0" i="0" u="none" strike="noStrike" baseline="0">
              <a:solidFill>
                <a:srgbClr val="000000"/>
              </a:solidFill>
              <a:latin typeface="ＭＳ Ｐゴシック"/>
              <a:ea typeface="ＭＳ Ｐゴシック"/>
            </a:rPr>
            <a:t>（千台）</a:t>
          </a:r>
        </a:p>
      </cdr:txBody>
    </cdr:sp>
  </cdr:relSizeAnchor>
  <cdr:relSizeAnchor xmlns:cdr="http://schemas.openxmlformats.org/drawingml/2006/chartDrawing">
    <cdr:from>
      <cdr:x>0.76456</cdr:x>
      <cdr:y>0.75694</cdr:y>
    </cdr:from>
    <cdr:to>
      <cdr:x>0.76456</cdr:x>
      <cdr:y>0.75694</cdr:y>
    </cdr:to>
    <cdr:sp macro="" textlink="">
      <cdr:nvSpPr>
        <cdr:cNvPr id="741378" name="Text Box 2"/>
        <cdr:cNvSpPr txBox="1">
          <a:spLocks xmlns:a="http://schemas.openxmlformats.org/drawingml/2006/main" noChangeArrowheads="1"/>
        </cdr:cNvSpPr>
      </cdr:nvSpPr>
      <cdr:spPr bwMode="auto">
        <a:xfrm xmlns:a="http://schemas.openxmlformats.org/drawingml/2006/main">
          <a:off x="7780452" y="2050250"/>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680" b="0" i="0" u="none" strike="noStrike" baseline="0">
              <a:solidFill>
                <a:srgbClr val="000000"/>
              </a:solidFill>
              <a:latin typeface="ＭＳ Ｐゴシック"/>
              <a:ea typeface="ＭＳ Ｐゴシック"/>
            </a:rPr>
            <a:t>（暦年）</a:t>
          </a:r>
        </a:p>
      </cdr:txBody>
    </cdr:sp>
  </cdr:relSizeAnchor>
</c:userShapes>
</file>

<file path=xl/drawings/drawing13.xml><?xml version="1.0" encoding="utf-8"?>
<c:userShapes xmlns:c="http://schemas.openxmlformats.org/drawingml/2006/chart">
  <cdr:relSizeAnchor xmlns:cdr="http://schemas.openxmlformats.org/drawingml/2006/chartDrawing">
    <cdr:from>
      <cdr:x>0.90333</cdr:x>
      <cdr:y>0.08136</cdr:y>
    </cdr:from>
    <cdr:to>
      <cdr:x>0.90333</cdr:x>
      <cdr:y>0.08136</cdr:y>
    </cdr:to>
    <cdr:sp macro="" textlink="">
      <cdr:nvSpPr>
        <cdr:cNvPr id="741377" name="Text Box 1"/>
        <cdr:cNvSpPr txBox="1">
          <a:spLocks xmlns:a="http://schemas.openxmlformats.org/drawingml/2006/main" noChangeArrowheads="1"/>
        </cdr:cNvSpPr>
      </cdr:nvSpPr>
      <cdr:spPr bwMode="auto">
        <a:xfrm xmlns:a="http://schemas.openxmlformats.org/drawingml/2006/main">
          <a:off x="8007795" y="164214"/>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680" b="0" i="0" u="none" strike="noStrike" baseline="0">
              <a:solidFill>
                <a:srgbClr val="000000"/>
              </a:solidFill>
              <a:latin typeface="ＭＳ Ｐゴシック"/>
              <a:ea typeface="ＭＳ Ｐゴシック"/>
            </a:rPr>
            <a:t>（千台）</a:t>
          </a:r>
        </a:p>
      </cdr:txBody>
    </cdr:sp>
  </cdr:relSizeAnchor>
  <cdr:relSizeAnchor xmlns:cdr="http://schemas.openxmlformats.org/drawingml/2006/chartDrawing">
    <cdr:from>
      <cdr:x>0.87167</cdr:x>
      <cdr:y>0.74176</cdr:y>
    </cdr:from>
    <cdr:to>
      <cdr:x>0.87167</cdr:x>
      <cdr:y>0.74176</cdr:y>
    </cdr:to>
    <cdr:sp macro="" textlink="">
      <cdr:nvSpPr>
        <cdr:cNvPr id="741378" name="Text Box 2"/>
        <cdr:cNvSpPr txBox="1">
          <a:spLocks xmlns:a="http://schemas.openxmlformats.org/drawingml/2006/main" noChangeArrowheads="1"/>
        </cdr:cNvSpPr>
      </cdr:nvSpPr>
      <cdr:spPr bwMode="auto">
        <a:xfrm xmlns:a="http://schemas.openxmlformats.org/drawingml/2006/main">
          <a:off x="7780452" y="2050250"/>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680" b="0" i="0" u="none" strike="noStrike" baseline="0">
              <a:solidFill>
                <a:srgbClr val="000000"/>
              </a:solidFill>
              <a:latin typeface="ＭＳ Ｐゴシック"/>
              <a:ea typeface="ＭＳ Ｐゴシック"/>
            </a:rPr>
            <a:t>（暦年）</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504265</xdr:colOff>
      <xdr:row>1</xdr:row>
      <xdr:rowOff>552450</xdr:rowOff>
    </xdr:from>
    <xdr:to>
      <xdr:col>13</xdr:col>
      <xdr:colOff>146281</xdr:colOff>
      <xdr:row>3</xdr:row>
      <xdr:rowOff>103020</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504265" y="552450"/>
          <a:ext cx="10321222" cy="402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メイリオ" panose="020B0604030504040204" pitchFamily="50" charset="-128"/>
              <a:ea typeface="メイリオ" panose="020B0604030504040204" pitchFamily="50" charset="-128"/>
            </a:rPr>
            <a:t>（１）</a:t>
          </a:r>
          <a:r>
            <a:rPr kumimoji="1" lang="en-US" altLang="ja-JP" sz="1100" b="1">
              <a:latin typeface="メイリオ" panose="020B0604030504040204" pitchFamily="50" charset="-128"/>
              <a:ea typeface="メイリオ" panose="020B0604030504040204" pitchFamily="50" charset="-128"/>
            </a:rPr>
            <a:t>USS</a:t>
          </a:r>
          <a:r>
            <a:rPr kumimoji="1" lang="ja-JP" altLang="en-US" sz="1100" b="1">
              <a:latin typeface="メイリオ" panose="020B0604030504040204" pitchFamily="50" charset="-128"/>
              <a:ea typeface="メイリオ" panose="020B0604030504040204" pitchFamily="50" charset="-128"/>
            </a:rPr>
            <a:t>会場別オートオークション実績（年度） 　</a:t>
          </a:r>
          <a:r>
            <a:rPr kumimoji="1" lang="en-US" altLang="ja-JP" sz="1050" b="0">
              <a:latin typeface="+mj-lt"/>
              <a:ea typeface="メイリオ" panose="020B0604030504040204" pitchFamily="50" charset="-128"/>
            </a:rPr>
            <a:t>Auto Auction Results at USS Auction Sites (Fiscal Year)</a:t>
          </a:r>
          <a:endParaRPr kumimoji="1" lang="ja-JP" altLang="en-US" sz="1100" b="0">
            <a:latin typeface="+mj-lt"/>
            <a:ea typeface="メイリオ" panose="020B0604030504040204" pitchFamily="50" charset="-128"/>
          </a:endParaRPr>
        </a:p>
      </xdr:txBody>
    </xdr:sp>
    <xdr:clientData/>
  </xdr:twoCellAnchor>
  <xdr:twoCellAnchor>
    <xdr:from>
      <xdr:col>11</xdr:col>
      <xdr:colOff>480172</xdr:colOff>
      <xdr:row>1</xdr:row>
      <xdr:rowOff>590550</xdr:rowOff>
    </xdr:from>
    <xdr:to>
      <xdr:col>12</xdr:col>
      <xdr:colOff>839946</xdr:colOff>
      <xdr:row>3</xdr:row>
      <xdr:rowOff>14160</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9456084" y="590550"/>
          <a:ext cx="1211421" cy="275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800" b="1">
              <a:solidFill>
                <a:srgbClr val="BDC3C4"/>
              </a:solidFill>
              <a:latin typeface="メイリオ" panose="020B0604030504040204" pitchFamily="50" charset="-128"/>
              <a:ea typeface="メイリオ" panose="020B0604030504040204" pitchFamily="50" charset="-128"/>
            </a:rPr>
            <a:t>Ⅱ-2.USS</a:t>
          </a:r>
          <a:r>
            <a:rPr kumimoji="1" lang="ja-JP" altLang="en-US" sz="800" b="1">
              <a:solidFill>
                <a:srgbClr val="BDC3C4"/>
              </a:solidFill>
              <a:latin typeface="メイリオ" panose="020B0604030504040204" pitchFamily="50" charset="-128"/>
              <a:ea typeface="メイリオ" panose="020B0604030504040204" pitchFamily="50" charset="-128"/>
            </a:rPr>
            <a:t>データ</a:t>
          </a:r>
        </a:p>
      </xdr:txBody>
    </xdr:sp>
    <xdr:clientData/>
  </xdr:twoCellAnchor>
  <xdr:twoCellAnchor>
    <xdr:from>
      <xdr:col>0</xdr:col>
      <xdr:colOff>268941</xdr:colOff>
      <xdr:row>1</xdr:row>
      <xdr:rowOff>190500</xdr:rowOff>
    </xdr:from>
    <xdr:to>
      <xdr:col>3</xdr:col>
      <xdr:colOff>459441</xdr:colOff>
      <xdr:row>1</xdr:row>
      <xdr:rowOff>592717</xdr:rowOff>
    </xdr:to>
    <xdr:sp macro="" textlink="">
      <xdr:nvSpPr>
        <xdr:cNvPr id="4" name="テキスト ボックス 3">
          <a:extLst>
            <a:ext uri="{FF2B5EF4-FFF2-40B4-BE49-F238E27FC236}">
              <a16:creationId xmlns:a16="http://schemas.microsoft.com/office/drawing/2014/main" id="{00000000-0008-0000-0B00-000005000000}"/>
            </a:ext>
          </a:extLst>
        </xdr:cNvPr>
        <xdr:cNvSpPr txBox="1"/>
      </xdr:nvSpPr>
      <xdr:spPr>
        <a:xfrm>
          <a:off x="268941" y="795618"/>
          <a:ext cx="2353235" cy="402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メイリオ" panose="020B0604030504040204" pitchFamily="50" charset="-128"/>
              <a:ea typeface="メイリオ" panose="020B0604030504040204" pitchFamily="50" charset="-128"/>
            </a:rPr>
            <a:t>2. USS</a:t>
          </a:r>
          <a:r>
            <a:rPr kumimoji="1" lang="ja-JP" altLang="en-US" sz="1200" b="1">
              <a:latin typeface="メイリオ" panose="020B0604030504040204" pitchFamily="50" charset="-128"/>
              <a:ea typeface="メイリオ" panose="020B0604030504040204" pitchFamily="50" charset="-128"/>
            </a:rPr>
            <a:t>データ　</a:t>
          </a:r>
          <a:r>
            <a:rPr kumimoji="1" lang="en-US" altLang="ja-JP" sz="1100" b="0">
              <a:latin typeface="+mj-lt"/>
              <a:ea typeface="メイリオ" panose="020B0604030504040204" pitchFamily="50" charset="-128"/>
            </a:rPr>
            <a:t>USS Data</a:t>
          </a:r>
        </a:p>
        <a:p>
          <a:endParaRPr kumimoji="1" lang="ja-JP" altLang="en-US" sz="1100" b="0">
            <a:latin typeface="+mj-lt"/>
            <a:ea typeface="メイリオ" panose="020B0604030504040204" pitchFamily="50"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470647</xdr:colOff>
      <xdr:row>0</xdr:row>
      <xdr:rowOff>537883</xdr:rowOff>
    </xdr:from>
    <xdr:to>
      <xdr:col>15</xdr:col>
      <xdr:colOff>414617</xdr:colOff>
      <xdr:row>2</xdr:row>
      <xdr:rowOff>101121</xdr:rowOff>
    </xdr:to>
    <xdr:sp macro="" textlink="">
      <xdr:nvSpPr>
        <xdr:cNvPr id="7" name="テキスト ボックス 6">
          <a:extLst>
            <a:ext uri="{FF2B5EF4-FFF2-40B4-BE49-F238E27FC236}">
              <a16:creationId xmlns:a16="http://schemas.microsoft.com/office/drawing/2014/main" id="{00000000-0008-0000-0C00-000007000000}"/>
            </a:ext>
          </a:extLst>
        </xdr:cNvPr>
        <xdr:cNvSpPr txBox="1"/>
      </xdr:nvSpPr>
      <xdr:spPr>
        <a:xfrm>
          <a:off x="470647" y="537883"/>
          <a:ext cx="8348382" cy="403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メイリオ" panose="020B0604030504040204" pitchFamily="50" charset="-128"/>
              <a:ea typeface="メイリオ" panose="020B0604030504040204" pitchFamily="50" charset="-128"/>
            </a:rPr>
            <a:t>（２）</a:t>
          </a:r>
          <a:r>
            <a:rPr kumimoji="1" lang="en-US" altLang="ja-JP" sz="1100" b="1">
              <a:latin typeface="メイリオ" panose="020B0604030504040204" pitchFamily="50" charset="-128"/>
              <a:ea typeface="メイリオ" panose="020B0604030504040204" pitchFamily="50" charset="-128"/>
            </a:rPr>
            <a:t>USS</a:t>
          </a:r>
          <a:r>
            <a:rPr kumimoji="1" lang="ja-JP" altLang="en-US" sz="1100" b="1">
              <a:latin typeface="メイリオ" panose="020B0604030504040204" pitchFamily="50" charset="-128"/>
              <a:ea typeface="メイリオ" panose="020B0604030504040204" pitchFamily="50" charset="-128"/>
            </a:rPr>
            <a:t>オートオークション月次推移（年度）　</a:t>
          </a:r>
          <a:r>
            <a:rPr kumimoji="1" lang="en-US" altLang="ja-JP" sz="1050" b="0">
              <a:latin typeface="+mj-lt"/>
              <a:ea typeface="メイリオ" panose="020B0604030504040204" pitchFamily="50" charset="-128"/>
            </a:rPr>
            <a:t>Monthly USS Auto Auction Results (Fiscal Year)</a:t>
          </a:r>
          <a:endParaRPr kumimoji="1" lang="ja-JP" altLang="en-US" sz="1100" b="0">
            <a:latin typeface="+mj-lt"/>
            <a:ea typeface="メイリオ" panose="020B0604030504040204" pitchFamily="50" charset="-128"/>
          </a:endParaRPr>
        </a:p>
      </xdr:txBody>
    </xdr:sp>
    <xdr:clientData/>
  </xdr:twoCellAnchor>
  <xdr:twoCellAnchor>
    <xdr:from>
      <xdr:col>15</xdr:col>
      <xdr:colOff>474149</xdr:colOff>
      <xdr:row>0</xdr:row>
      <xdr:rowOff>583406</xdr:rowOff>
    </xdr:from>
    <xdr:to>
      <xdr:col>18</xdr:col>
      <xdr:colOff>1399</xdr:colOff>
      <xdr:row>2</xdr:row>
      <xdr:rowOff>16730</xdr:rowOff>
    </xdr:to>
    <xdr:sp macro="" textlink="">
      <xdr:nvSpPr>
        <xdr:cNvPr id="8" name="テキスト ボックス 7">
          <a:extLst>
            <a:ext uri="{FF2B5EF4-FFF2-40B4-BE49-F238E27FC236}">
              <a16:creationId xmlns:a16="http://schemas.microsoft.com/office/drawing/2014/main" id="{00000000-0008-0000-0C00-000008000000}"/>
            </a:ext>
          </a:extLst>
        </xdr:cNvPr>
        <xdr:cNvSpPr txBox="1"/>
      </xdr:nvSpPr>
      <xdr:spPr>
        <a:xfrm>
          <a:off x="8689462" y="583406"/>
          <a:ext cx="1194125" cy="278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800" b="1">
              <a:solidFill>
                <a:srgbClr val="BDC3C4"/>
              </a:solidFill>
              <a:latin typeface="メイリオ" panose="020B0604030504040204" pitchFamily="50" charset="-128"/>
              <a:ea typeface="メイリオ" panose="020B0604030504040204" pitchFamily="50" charset="-128"/>
            </a:rPr>
            <a:t>Ⅱ-2.USS</a:t>
          </a:r>
          <a:r>
            <a:rPr kumimoji="1" lang="ja-JP" altLang="en-US" sz="800" b="1">
              <a:solidFill>
                <a:srgbClr val="BDC3C4"/>
              </a:solidFill>
              <a:latin typeface="メイリオ" panose="020B0604030504040204" pitchFamily="50" charset="-128"/>
              <a:ea typeface="メイリオ" panose="020B0604030504040204" pitchFamily="50" charset="-128"/>
            </a:rPr>
            <a:t>データ</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599169</xdr:colOff>
      <xdr:row>25</xdr:row>
      <xdr:rowOff>68037</xdr:rowOff>
    </xdr:from>
    <xdr:to>
      <xdr:col>17</xdr:col>
      <xdr:colOff>36287</xdr:colOff>
      <xdr:row>40</xdr:row>
      <xdr:rowOff>154215</xdr:rowOff>
    </xdr:to>
    <xdr:graphicFrame macro="">
      <xdr:nvGraphicFramePr>
        <xdr:cNvPr id="2" name="グラフ 5">
          <a:extLst>
            <a:ext uri="{FF2B5EF4-FFF2-40B4-BE49-F238E27FC236}">
              <a16:creationId xmlns:a16="http://schemas.microsoft.com/office/drawing/2014/main" id="{00000000-0008-0000-0D00-00008FF4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784626</xdr:colOff>
      <xdr:row>26</xdr:row>
      <xdr:rowOff>122919</xdr:rowOff>
    </xdr:from>
    <xdr:to>
      <xdr:col>2</xdr:col>
      <xdr:colOff>546822</xdr:colOff>
      <xdr:row>27</xdr:row>
      <xdr:rowOff>102588</xdr:rowOff>
    </xdr:to>
    <xdr:sp macro="" textlink="">
      <xdr:nvSpPr>
        <xdr:cNvPr id="3" name="Text Box 6">
          <a:extLst>
            <a:ext uri="{FF2B5EF4-FFF2-40B4-BE49-F238E27FC236}">
              <a16:creationId xmlns:a16="http://schemas.microsoft.com/office/drawing/2014/main" id="{00000000-0008-0000-0D00-000006F40A00}"/>
            </a:ext>
          </a:extLst>
        </xdr:cNvPr>
        <xdr:cNvSpPr txBox="1">
          <a:spLocks noChangeArrowheads="1"/>
        </xdr:cNvSpPr>
      </xdr:nvSpPr>
      <xdr:spPr bwMode="auto">
        <a:xfrm>
          <a:off x="784626" y="7021740"/>
          <a:ext cx="1857696" cy="1701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600" b="0" i="0" u="none" strike="noStrike" baseline="0">
              <a:solidFill>
                <a:srgbClr val="000000"/>
              </a:solidFill>
              <a:latin typeface="メイリオ" panose="020B0604030504040204" pitchFamily="50" charset="-128"/>
              <a:ea typeface="メイリオ" panose="020B0604030504040204" pitchFamily="50" charset="-128"/>
            </a:rPr>
            <a:t>百万円　</a:t>
          </a:r>
          <a:r>
            <a:rPr lang="en-US" altLang="ja-JP" sz="600" b="0" i="0" u="none" strike="noStrike" baseline="0">
              <a:solidFill>
                <a:srgbClr val="000000"/>
              </a:solidFill>
              <a:latin typeface="+mj-lt"/>
              <a:ea typeface="メイリオ" panose="020B0604030504040204" pitchFamily="50" charset="-128"/>
            </a:rPr>
            <a:t>Million Yen</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13</xdr:col>
      <xdr:colOff>207578</xdr:colOff>
      <xdr:row>38</xdr:row>
      <xdr:rowOff>3820</xdr:rowOff>
    </xdr:from>
    <xdr:to>
      <xdr:col>14</xdr:col>
      <xdr:colOff>287860</xdr:colOff>
      <xdr:row>39</xdr:row>
      <xdr:rowOff>78390</xdr:rowOff>
    </xdr:to>
    <xdr:sp macro="" textlink="">
      <xdr:nvSpPr>
        <xdr:cNvPr id="4" name="Text Box 8">
          <a:extLst>
            <a:ext uri="{FF2B5EF4-FFF2-40B4-BE49-F238E27FC236}">
              <a16:creationId xmlns:a16="http://schemas.microsoft.com/office/drawing/2014/main" id="{00000000-0008-0000-0D00-000008F40A00}"/>
            </a:ext>
          </a:extLst>
        </xdr:cNvPr>
        <xdr:cNvSpPr txBox="1">
          <a:spLocks noChangeArrowheads="1"/>
        </xdr:cNvSpPr>
      </xdr:nvSpPr>
      <xdr:spPr bwMode="auto">
        <a:xfrm>
          <a:off x="11555935" y="9705713"/>
          <a:ext cx="828675" cy="3194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メイリオ" panose="020B0604030504040204" pitchFamily="50" charset="-128"/>
              <a:ea typeface="メイリオ" panose="020B0604030504040204" pitchFamily="50" charset="-128"/>
            </a:rPr>
            <a:t>（期　</a:t>
          </a:r>
          <a:r>
            <a:rPr lang="en-US" altLang="ja-JP" sz="700" b="0" i="0" u="none" strike="noStrike" baseline="0">
              <a:solidFill>
                <a:srgbClr val="000000"/>
              </a:solidFill>
              <a:latin typeface="メイリオ" panose="020B0604030504040204" pitchFamily="50" charset="-128"/>
              <a:ea typeface="メイリオ" panose="020B0604030504040204" pitchFamily="50" charset="-128"/>
            </a:rPr>
            <a:t>FY)</a:t>
          </a:r>
        </a:p>
      </xdr:txBody>
    </xdr:sp>
    <xdr:clientData/>
  </xdr:twoCellAnchor>
  <xdr:twoCellAnchor>
    <xdr:from>
      <xdr:col>0</xdr:col>
      <xdr:colOff>739322</xdr:colOff>
      <xdr:row>2</xdr:row>
      <xdr:rowOff>161019</xdr:rowOff>
    </xdr:from>
    <xdr:to>
      <xdr:col>10</xdr:col>
      <xdr:colOff>235857</xdr:colOff>
      <xdr:row>3</xdr:row>
      <xdr:rowOff>392340</xdr:rowOff>
    </xdr:to>
    <xdr:sp macro="" textlink="">
      <xdr:nvSpPr>
        <xdr:cNvPr id="5" name="テキスト ボックス 4">
          <a:extLst>
            <a:ext uri="{FF2B5EF4-FFF2-40B4-BE49-F238E27FC236}">
              <a16:creationId xmlns:a16="http://schemas.microsoft.com/office/drawing/2014/main" id="{00000000-0008-0000-0D00-000009000000}"/>
            </a:ext>
          </a:extLst>
        </xdr:cNvPr>
        <xdr:cNvSpPr txBox="1"/>
      </xdr:nvSpPr>
      <xdr:spPr>
        <a:xfrm>
          <a:off x="739322" y="1154340"/>
          <a:ext cx="8599714"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メイリオ" panose="020B0604030504040204" pitchFamily="50" charset="-128"/>
              <a:ea typeface="メイリオ" panose="020B0604030504040204" pitchFamily="50" charset="-128"/>
            </a:rPr>
            <a:t>（１）事業の種類別セグメントの状況　</a:t>
          </a:r>
          <a:r>
            <a:rPr kumimoji="1" lang="en-US" altLang="ja-JP" sz="1400" b="0">
              <a:latin typeface="+mj-lt"/>
              <a:ea typeface="メイリオ" panose="020B0604030504040204" pitchFamily="50" charset="-128"/>
            </a:rPr>
            <a:t>Segment Information by Business Category</a:t>
          </a:r>
          <a:endParaRPr kumimoji="1" lang="ja-JP" altLang="en-US" sz="1400" b="0">
            <a:latin typeface="+mj-lt"/>
            <a:ea typeface="メイリオ" panose="020B0604030504040204" pitchFamily="50" charset="-128"/>
          </a:endParaRPr>
        </a:p>
      </xdr:txBody>
    </xdr:sp>
    <xdr:clientData/>
  </xdr:twoCellAnchor>
  <xdr:twoCellAnchor>
    <xdr:from>
      <xdr:col>15</xdr:col>
      <xdr:colOff>283482</xdr:colOff>
      <xdr:row>1</xdr:row>
      <xdr:rowOff>807357</xdr:rowOff>
    </xdr:from>
    <xdr:to>
      <xdr:col>17</xdr:col>
      <xdr:colOff>65767</xdr:colOff>
      <xdr:row>3</xdr:row>
      <xdr:rowOff>49891</xdr:rowOff>
    </xdr:to>
    <xdr:sp macro="" textlink="">
      <xdr:nvSpPr>
        <xdr:cNvPr id="6" name="テキスト ボックス 5">
          <a:extLst>
            <a:ext uri="{FF2B5EF4-FFF2-40B4-BE49-F238E27FC236}">
              <a16:creationId xmlns:a16="http://schemas.microsoft.com/office/drawing/2014/main" id="{00000000-0008-0000-0D00-00000B000000}"/>
            </a:ext>
          </a:extLst>
        </xdr:cNvPr>
        <xdr:cNvSpPr txBox="1"/>
      </xdr:nvSpPr>
      <xdr:spPr>
        <a:xfrm>
          <a:off x="13066032" y="807357"/>
          <a:ext cx="1268185" cy="3188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50" b="1">
              <a:solidFill>
                <a:srgbClr val="BDC3C4"/>
              </a:solidFill>
              <a:latin typeface="メイリオ" panose="020B0604030504040204" pitchFamily="50" charset="-128"/>
              <a:ea typeface="メイリオ" panose="020B0604030504040204" pitchFamily="50" charset="-128"/>
            </a:rPr>
            <a:t>Ⅲ-1.</a:t>
          </a:r>
          <a:r>
            <a:rPr kumimoji="1" lang="ja-JP" altLang="en-US" sz="1050" b="1">
              <a:solidFill>
                <a:srgbClr val="BDC3C4"/>
              </a:solidFill>
              <a:latin typeface="メイリオ" panose="020B0604030504040204" pitchFamily="50" charset="-128"/>
              <a:ea typeface="メイリオ" panose="020B0604030504040204" pitchFamily="50" charset="-128"/>
            </a:rPr>
            <a:t>セグメント</a:t>
          </a:r>
        </a:p>
      </xdr:txBody>
    </xdr:sp>
    <xdr:clientData/>
  </xdr:twoCellAnchor>
  <xdr:twoCellAnchor>
    <xdr:from>
      <xdr:col>0</xdr:col>
      <xdr:colOff>802821</xdr:colOff>
      <xdr:row>25</xdr:row>
      <xdr:rowOff>27214</xdr:rowOff>
    </xdr:from>
    <xdr:to>
      <xdr:col>8</xdr:col>
      <xdr:colOff>598714</xdr:colOff>
      <xdr:row>26</xdr:row>
      <xdr:rowOff>68036</xdr:rowOff>
    </xdr:to>
    <xdr:sp macro="" textlink="">
      <xdr:nvSpPr>
        <xdr:cNvPr id="7" name="Text Box 46">
          <a:extLst>
            <a:ext uri="{FF2B5EF4-FFF2-40B4-BE49-F238E27FC236}">
              <a16:creationId xmlns:a16="http://schemas.microsoft.com/office/drawing/2014/main" id="{00000000-0008-0000-0D00-00000C000000}"/>
            </a:ext>
          </a:extLst>
        </xdr:cNvPr>
        <xdr:cNvSpPr txBox="1">
          <a:spLocks noChangeArrowheads="1"/>
        </xdr:cNvSpPr>
      </xdr:nvSpPr>
      <xdr:spPr bwMode="auto">
        <a:xfrm>
          <a:off x="802821" y="6681107"/>
          <a:ext cx="7402286"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1100" b="1" i="0" u="none" strike="noStrike" baseline="0">
              <a:solidFill>
                <a:srgbClr val="000000"/>
              </a:solidFill>
              <a:latin typeface="メイリオ" panose="020B0604030504040204" pitchFamily="50" charset="-128"/>
              <a:ea typeface="メイリオ" panose="020B0604030504040204" pitchFamily="50" charset="-128"/>
            </a:rPr>
            <a:t>事業の種類別の売上高　</a:t>
          </a:r>
          <a:r>
            <a:rPr lang="en-US" altLang="ja-JP" sz="1050" b="0" i="0" u="none" strike="noStrike" baseline="0">
              <a:solidFill>
                <a:srgbClr val="000000"/>
              </a:solidFill>
              <a:latin typeface="+mj-lt"/>
              <a:ea typeface="メイリオ" panose="020B0604030504040204" pitchFamily="50" charset="-128"/>
            </a:rPr>
            <a:t>Net Sales by Business Category</a:t>
          </a:r>
        </a:p>
      </xdr:txBody>
    </xdr:sp>
    <xdr:clientData/>
  </xdr:twoCellAnchor>
  <xdr:twoCellAnchor>
    <xdr:from>
      <xdr:col>0</xdr:col>
      <xdr:colOff>459974</xdr:colOff>
      <xdr:row>1</xdr:row>
      <xdr:rowOff>557224</xdr:rowOff>
    </xdr:from>
    <xdr:to>
      <xdr:col>11</xdr:col>
      <xdr:colOff>415755</xdr:colOff>
      <xdr:row>2</xdr:row>
      <xdr:rowOff>129406</xdr:rowOff>
    </xdr:to>
    <xdr:sp macro="" textlink="">
      <xdr:nvSpPr>
        <xdr:cNvPr id="9" name="テキスト ボックス 8">
          <a:extLst>
            <a:ext uri="{FF2B5EF4-FFF2-40B4-BE49-F238E27FC236}">
              <a16:creationId xmlns:a16="http://schemas.microsoft.com/office/drawing/2014/main" id="{00000000-0008-0000-0B00-000005000000}"/>
            </a:ext>
          </a:extLst>
        </xdr:cNvPr>
        <xdr:cNvSpPr txBox="1"/>
      </xdr:nvSpPr>
      <xdr:spPr>
        <a:xfrm>
          <a:off x="459974" y="720510"/>
          <a:ext cx="9807352" cy="402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メイリオ" panose="020B0604030504040204" pitchFamily="50" charset="-128"/>
              <a:ea typeface="メイリオ" panose="020B0604030504040204" pitchFamily="50" charset="-128"/>
            </a:rPr>
            <a:t> 1.</a:t>
          </a:r>
          <a:r>
            <a:rPr kumimoji="1" lang="en-US" altLang="ja-JP" sz="1600" b="1" baseline="0">
              <a:latin typeface="メイリオ" panose="020B0604030504040204" pitchFamily="50" charset="-128"/>
              <a:ea typeface="メイリオ" panose="020B0604030504040204" pitchFamily="50" charset="-128"/>
            </a:rPr>
            <a:t> </a:t>
          </a:r>
          <a:r>
            <a:rPr kumimoji="1" lang="ja-JP" altLang="en-US" sz="1600" b="1">
              <a:latin typeface="メイリオ" panose="020B0604030504040204" pitchFamily="50" charset="-128"/>
              <a:ea typeface="メイリオ" panose="020B0604030504040204" pitchFamily="50" charset="-128"/>
            </a:rPr>
            <a:t>セグメント　</a:t>
          </a:r>
          <a:r>
            <a:rPr kumimoji="1" lang="en-US" altLang="ja-JP" sz="1600" b="0">
              <a:latin typeface="+mj-lt"/>
              <a:ea typeface="メイリオ" panose="020B0604030504040204" pitchFamily="50" charset="-128"/>
            </a:rPr>
            <a:t>Segment</a:t>
          </a:r>
          <a:r>
            <a:rPr kumimoji="1" lang="ja-JP" altLang="en-US" sz="1600" b="0" baseline="0">
              <a:latin typeface="+mj-lt"/>
              <a:ea typeface="メイリオ" panose="020B0604030504040204" pitchFamily="50" charset="-128"/>
            </a:rPr>
            <a:t> </a:t>
          </a:r>
          <a:r>
            <a:rPr kumimoji="1" lang="en-US" altLang="ja-JP" sz="1600" b="0" baseline="0">
              <a:latin typeface="+mj-lt"/>
              <a:ea typeface="メイリオ" panose="020B0604030504040204" pitchFamily="50" charset="-128"/>
            </a:rPr>
            <a:t>Information</a:t>
          </a:r>
          <a:endParaRPr kumimoji="1" lang="ja-JP" altLang="en-US" sz="1600" b="0">
            <a:latin typeface="+mj-lt"/>
            <a:ea typeface="メイリオ" panose="020B0604030504040204" pitchFamily="50" charset="-128"/>
          </a:endParaRPr>
        </a:p>
      </xdr:txBody>
    </xdr:sp>
    <xdr:clientData/>
  </xdr:twoCellAnchor>
  <xdr:twoCellAnchor>
    <xdr:from>
      <xdr:col>0</xdr:col>
      <xdr:colOff>258589</xdr:colOff>
      <xdr:row>1</xdr:row>
      <xdr:rowOff>70089</xdr:rowOff>
    </xdr:from>
    <xdr:to>
      <xdr:col>11</xdr:col>
      <xdr:colOff>214370</xdr:colOff>
      <xdr:row>1</xdr:row>
      <xdr:rowOff>472306</xdr:rowOff>
    </xdr:to>
    <xdr:sp macro="" textlink="">
      <xdr:nvSpPr>
        <xdr:cNvPr id="10" name="テキスト ボックス 9">
          <a:extLst>
            <a:ext uri="{FF2B5EF4-FFF2-40B4-BE49-F238E27FC236}">
              <a16:creationId xmlns:a16="http://schemas.microsoft.com/office/drawing/2014/main" id="{00000000-0008-0000-0B00-000005000000}"/>
            </a:ext>
          </a:extLst>
        </xdr:cNvPr>
        <xdr:cNvSpPr txBox="1"/>
      </xdr:nvSpPr>
      <xdr:spPr>
        <a:xfrm>
          <a:off x="258589" y="233375"/>
          <a:ext cx="9807352" cy="402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メイリオ" panose="020B0604030504040204" pitchFamily="50" charset="-128"/>
              <a:ea typeface="メイリオ" panose="020B0604030504040204" pitchFamily="50" charset="-128"/>
            </a:rPr>
            <a:t>Ⅲ.</a:t>
          </a:r>
          <a:r>
            <a:rPr kumimoji="1" lang="en-US" altLang="ja-JP" sz="1800" b="1" baseline="0">
              <a:latin typeface="メイリオ" panose="020B0604030504040204" pitchFamily="50" charset="-128"/>
              <a:ea typeface="メイリオ" panose="020B0604030504040204" pitchFamily="50" charset="-128"/>
            </a:rPr>
            <a:t> </a:t>
          </a:r>
          <a:r>
            <a:rPr kumimoji="1" lang="ja-JP" altLang="en-US" sz="1800" b="1" baseline="0">
              <a:latin typeface="メイリオ" panose="020B0604030504040204" pitchFamily="50" charset="-128"/>
              <a:ea typeface="メイリオ" panose="020B0604030504040204" pitchFamily="50" charset="-128"/>
            </a:rPr>
            <a:t>決算データ等　</a:t>
          </a:r>
          <a:r>
            <a:rPr kumimoji="1" lang="en-US" altLang="ja-JP" sz="1800" b="0">
              <a:latin typeface="+mj-lt"/>
              <a:ea typeface="メイリオ" panose="020B0604030504040204" pitchFamily="50" charset="-128"/>
            </a:rPr>
            <a:t>Financial Data</a:t>
          </a:r>
          <a:endParaRPr kumimoji="1" lang="ja-JP" altLang="en-US" sz="1800" b="0">
            <a:latin typeface="+mj-lt"/>
            <a:ea typeface="メイリオ" panose="020B0604030504040204" pitchFamily="50"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666749</xdr:colOff>
      <xdr:row>0</xdr:row>
      <xdr:rowOff>752475</xdr:rowOff>
    </xdr:from>
    <xdr:to>
      <xdr:col>13</xdr:col>
      <xdr:colOff>460375</xdr:colOff>
      <xdr:row>2</xdr:row>
      <xdr:rowOff>115661</xdr:rowOff>
    </xdr:to>
    <xdr:sp macro="" textlink="">
      <xdr:nvSpPr>
        <xdr:cNvPr id="23" name="テキスト ボックス 22">
          <a:extLst>
            <a:ext uri="{FF2B5EF4-FFF2-40B4-BE49-F238E27FC236}">
              <a16:creationId xmlns:a16="http://schemas.microsoft.com/office/drawing/2014/main" id="{00000000-0008-0000-0E00-000017000000}"/>
            </a:ext>
          </a:extLst>
        </xdr:cNvPr>
        <xdr:cNvSpPr txBox="1"/>
      </xdr:nvSpPr>
      <xdr:spPr>
        <a:xfrm>
          <a:off x="666749" y="752475"/>
          <a:ext cx="10795001" cy="3950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メイリオ" panose="020B0604030504040204" pitchFamily="50" charset="-128"/>
              <a:ea typeface="メイリオ" panose="020B0604030504040204" pitchFamily="50" charset="-128"/>
            </a:rPr>
            <a:t>（２）オートオークション － セグメント売上推移　</a:t>
          </a:r>
          <a:r>
            <a:rPr kumimoji="1" lang="en-US" altLang="ja-JP" sz="1200" b="0">
              <a:latin typeface="+mj-lt"/>
              <a:ea typeface="メイリオ" panose="020B0604030504040204" pitchFamily="50" charset="-128"/>
            </a:rPr>
            <a:t>Auto Auction Business - Net Sales and Operating Margin</a:t>
          </a:r>
          <a:endParaRPr kumimoji="1" lang="ja-JP" altLang="en-US" sz="1400" b="0">
            <a:latin typeface="+mj-lt"/>
            <a:ea typeface="メイリオ" panose="020B0604030504040204" pitchFamily="50" charset="-128"/>
          </a:endParaRPr>
        </a:p>
      </xdr:txBody>
    </xdr:sp>
    <xdr:clientData/>
  </xdr:twoCellAnchor>
  <xdr:twoCellAnchor>
    <xdr:from>
      <xdr:col>1</xdr:col>
      <xdr:colOff>0</xdr:colOff>
      <xdr:row>2</xdr:row>
      <xdr:rowOff>704849</xdr:rowOff>
    </xdr:from>
    <xdr:to>
      <xdr:col>9</xdr:col>
      <xdr:colOff>492125</xdr:colOff>
      <xdr:row>3</xdr:row>
      <xdr:rowOff>269874</xdr:rowOff>
    </xdr:to>
    <xdr:sp macro="" textlink="">
      <xdr:nvSpPr>
        <xdr:cNvPr id="26" name="Text Box 46">
          <a:extLst>
            <a:ext uri="{FF2B5EF4-FFF2-40B4-BE49-F238E27FC236}">
              <a16:creationId xmlns:a16="http://schemas.microsoft.com/office/drawing/2014/main" id="{00000000-0008-0000-0E00-00001A000000}"/>
            </a:ext>
          </a:extLst>
        </xdr:cNvPr>
        <xdr:cNvSpPr txBox="1">
          <a:spLocks noChangeArrowheads="1"/>
        </xdr:cNvSpPr>
      </xdr:nvSpPr>
      <xdr:spPr bwMode="auto">
        <a:xfrm>
          <a:off x="841375" y="1736724"/>
          <a:ext cx="754062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1200" b="1" i="0" u="none" strike="noStrike" baseline="0">
              <a:solidFill>
                <a:srgbClr val="004098"/>
              </a:solidFill>
              <a:latin typeface="メイリオ" panose="020B0604030504040204" pitchFamily="50" charset="-128"/>
              <a:ea typeface="メイリオ" panose="020B0604030504040204" pitchFamily="50" charset="-128"/>
            </a:rPr>
            <a:t>オートオークション － セグメント売上推移　</a:t>
          </a:r>
          <a:r>
            <a:rPr lang="en-US" altLang="ja-JP" sz="1100" b="0" i="0" u="none" strike="noStrike" baseline="0">
              <a:solidFill>
                <a:srgbClr val="004098"/>
              </a:solidFill>
              <a:latin typeface="+mj-lt"/>
              <a:ea typeface="メイリオ" panose="020B0604030504040204" pitchFamily="50" charset="-128"/>
            </a:rPr>
            <a:t>Auto Auction Business - Net Sales and Operating Margin</a:t>
          </a:r>
        </a:p>
      </xdr:txBody>
    </xdr:sp>
    <xdr:clientData/>
  </xdr:twoCellAnchor>
  <xdr:twoCellAnchor>
    <xdr:from>
      <xdr:col>0</xdr:col>
      <xdr:colOff>791482</xdr:colOff>
      <xdr:row>9</xdr:row>
      <xdr:rowOff>176893</xdr:rowOff>
    </xdr:from>
    <xdr:to>
      <xdr:col>13</xdr:col>
      <xdr:colOff>723446</xdr:colOff>
      <xdr:row>10</xdr:row>
      <xdr:rowOff>16083</xdr:rowOff>
    </xdr:to>
    <xdr:sp macro="" textlink="">
      <xdr:nvSpPr>
        <xdr:cNvPr id="27" name="Text Box 46">
          <a:extLst>
            <a:ext uri="{FF2B5EF4-FFF2-40B4-BE49-F238E27FC236}">
              <a16:creationId xmlns:a16="http://schemas.microsoft.com/office/drawing/2014/main" id="{00000000-0008-0000-0E00-00001B000000}"/>
            </a:ext>
          </a:extLst>
        </xdr:cNvPr>
        <xdr:cNvSpPr txBox="1">
          <a:spLocks noChangeArrowheads="1"/>
        </xdr:cNvSpPr>
      </xdr:nvSpPr>
      <xdr:spPr bwMode="auto">
        <a:xfrm>
          <a:off x="791482" y="3442607"/>
          <a:ext cx="11049000" cy="3290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1200" b="1" i="0" u="none" strike="noStrike" baseline="0">
              <a:solidFill>
                <a:srgbClr val="004098"/>
              </a:solidFill>
              <a:latin typeface="メイリオ" panose="020B0604030504040204" pitchFamily="50" charset="-128"/>
              <a:ea typeface="メイリオ" panose="020B0604030504040204" pitchFamily="50" charset="-128"/>
            </a:rPr>
            <a:t>オートオークション － 出品･成約台数推移（</a:t>
          </a:r>
          <a:r>
            <a:rPr lang="en-US" altLang="ja-JP" sz="1200" b="1" i="0" u="none" strike="noStrike" baseline="0">
              <a:solidFill>
                <a:srgbClr val="004098"/>
              </a:solidFill>
              <a:latin typeface="メイリオ" panose="020B0604030504040204" pitchFamily="50" charset="-128"/>
              <a:ea typeface="メイリオ" panose="020B0604030504040204" pitchFamily="50" charset="-128"/>
            </a:rPr>
            <a:t>JBA</a:t>
          </a:r>
          <a:r>
            <a:rPr lang="ja-JP" altLang="en-US" sz="1200" b="1" i="0" u="none" strike="noStrike" baseline="0">
              <a:solidFill>
                <a:srgbClr val="004098"/>
              </a:solidFill>
              <a:latin typeface="メイリオ" panose="020B0604030504040204" pitchFamily="50" charset="-128"/>
              <a:ea typeface="メイリオ" panose="020B0604030504040204" pitchFamily="50" charset="-128"/>
            </a:rPr>
            <a:t>除く）　</a:t>
          </a:r>
          <a:r>
            <a:rPr lang="en-US" altLang="ja-JP" sz="1100" b="0" i="0" u="none" strike="noStrike" baseline="0">
              <a:solidFill>
                <a:srgbClr val="004098"/>
              </a:solidFill>
              <a:latin typeface="+mj-lt"/>
              <a:ea typeface="メイリオ" panose="020B0604030504040204" pitchFamily="50" charset="-128"/>
            </a:rPr>
            <a:t>Auto Auction Business - No. of Consigned/Contracted Vehicles (excl. JBA)</a:t>
          </a:r>
        </a:p>
      </xdr:txBody>
    </xdr:sp>
    <xdr:clientData/>
  </xdr:twoCellAnchor>
  <xdr:twoCellAnchor>
    <xdr:from>
      <xdr:col>7</xdr:col>
      <xdr:colOff>634371</xdr:colOff>
      <xdr:row>16</xdr:row>
      <xdr:rowOff>132521</xdr:rowOff>
    </xdr:from>
    <xdr:to>
      <xdr:col>18</xdr:col>
      <xdr:colOff>993427</xdr:colOff>
      <xdr:row>28</xdr:row>
      <xdr:rowOff>35979</xdr:rowOff>
    </xdr:to>
    <xdr:grpSp>
      <xdr:nvGrpSpPr>
        <xdr:cNvPr id="4" name="グループ化 3">
          <a:extLst>
            <a:ext uri="{FF2B5EF4-FFF2-40B4-BE49-F238E27FC236}">
              <a16:creationId xmlns:a16="http://schemas.microsoft.com/office/drawing/2014/main" id="{00000000-0008-0000-0E00-000004000000}"/>
            </a:ext>
          </a:extLst>
        </xdr:cNvPr>
        <xdr:cNvGrpSpPr/>
      </xdr:nvGrpSpPr>
      <xdr:grpSpPr>
        <a:xfrm>
          <a:off x="6757944" y="5365255"/>
          <a:ext cx="7220745" cy="2808082"/>
          <a:chOff x="830155" y="4323036"/>
          <a:chExt cx="16626724" cy="2801668"/>
        </a:xfrm>
      </xdr:grpSpPr>
      <xdr:graphicFrame macro="">
        <xdr:nvGraphicFramePr>
          <xdr:cNvPr id="810455" name="グラフ 19">
            <a:extLst>
              <a:ext uri="{FF2B5EF4-FFF2-40B4-BE49-F238E27FC236}">
                <a16:creationId xmlns:a16="http://schemas.microsoft.com/office/drawing/2014/main" id="{00000000-0008-0000-0E00-0000D75D0C00}"/>
              </a:ext>
            </a:extLst>
          </xdr:cNvPr>
          <xdr:cNvGraphicFramePr>
            <a:graphicFrameLocks/>
          </xdr:cNvGraphicFramePr>
        </xdr:nvGraphicFramePr>
        <xdr:xfrm>
          <a:off x="830155" y="4824655"/>
          <a:ext cx="12626192" cy="228965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810004" name="Text Box 20">
            <a:extLst>
              <a:ext uri="{FF2B5EF4-FFF2-40B4-BE49-F238E27FC236}">
                <a16:creationId xmlns:a16="http://schemas.microsoft.com/office/drawing/2014/main" id="{00000000-0008-0000-0E00-0000145C0C00}"/>
              </a:ext>
            </a:extLst>
          </xdr:cNvPr>
          <xdr:cNvSpPr txBox="1">
            <a:spLocks noChangeArrowheads="1"/>
          </xdr:cNvSpPr>
        </xdr:nvSpPr>
        <xdr:spPr bwMode="auto">
          <a:xfrm>
            <a:off x="980380" y="4858535"/>
            <a:ext cx="2550553" cy="1833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l" rtl="0">
              <a:defRPr sz="1000"/>
            </a:pP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800" b="0" i="0" u="none" strike="noStrike" baseline="0">
                <a:solidFill>
                  <a:srgbClr val="000000"/>
                </a:solidFill>
                <a:latin typeface="メイリオ" panose="020B0604030504040204" pitchFamily="50" charset="-128"/>
                <a:ea typeface="メイリオ" panose="020B0604030504040204" pitchFamily="50" charset="-128"/>
              </a:rPr>
              <a:t>台　</a:t>
            </a:r>
            <a:r>
              <a:rPr lang="en-US" altLang="ja-JP" sz="800" b="0" i="0" u="none" strike="noStrike" baseline="0">
                <a:solidFill>
                  <a:srgbClr val="000000"/>
                </a:solidFill>
                <a:latin typeface="+mj-lt"/>
                <a:ea typeface="メイリオ" panose="020B0604030504040204" pitchFamily="50" charset="-128"/>
              </a:rPr>
              <a:t>No. of Vehicles</a:t>
            </a: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p>
        </xdr:txBody>
      </xdr:sp>
      <xdr:sp macro="" textlink="">
        <xdr:nvSpPr>
          <xdr:cNvPr id="810005" name="Text Box 21">
            <a:extLst>
              <a:ext uri="{FF2B5EF4-FFF2-40B4-BE49-F238E27FC236}">
                <a16:creationId xmlns:a16="http://schemas.microsoft.com/office/drawing/2014/main" id="{00000000-0008-0000-0E00-0000155C0C00}"/>
              </a:ext>
            </a:extLst>
          </xdr:cNvPr>
          <xdr:cNvSpPr txBox="1">
            <a:spLocks noChangeArrowheads="1"/>
          </xdr:cNvSpPr>
        </xdr:nvSpPr>
        <xdr:spPr bwMode="auto">
          <a:xfrm>
            <a:off x="12649712" y="4954318"/>
            <a:ext cx="969665" cy="2558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800" b="0" i="0" u="none" strike="noStrike" baseline="0">
                <a:solidFill>
                  <a:srgbClr val="000000"/>
                </a:solidFill>
                <a:latin typeface="メイリオ" panose="020B0604030504040204" pitchFamily="50" charset="-128"/>
                <a:ea typeface="メイリオ" panose="020B0604030504040204" pitchFamily="50" charset="-128"/>
              </a:rPr>
              <a:t>％</a:t>
            </a: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p>
        </xdr:txBody>
      </xdr:sp>
      <xdr:sp macro="" textlink="">
        <xdr:nvSpPr>
          <xdr:cNvPr id="810007" name="Text Box 23">
            <a:extLst>
              <a:ext uri="{FF2B5EF4-FFF2-40B4-BE49-F238E27FC236}">
                <a16:creationId xmlns:a16="http://schemas.microsoft.com/office/drawing/2014/main" id="{00000000-0008-0000-0E00-0000175C0C00}"/>
              </a:ext>
            </a:extLst>
          </xdr:cNvPr>
          <xdr:cNvSpPr txBox="1">
            <a:spLocks noChangeArrowheads="1"/>
          </xdr:cNvSpPr>
        </xdr:nvSpPr>
        <xdr:spPr bwMode="auto">
          <a:xfrm>
            <a:off x="12560706" y="6887322"/>
            <a:ext cx="1504966" cy="2373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メイリオ" panose="020B0604030504040204" pitchFamily="50" charset="-128"/>
                <a:ea typeface="メイリオ" panose="020B0604030504040204" pitchFamily="50" charset="-128"/>
              </a:rPr>
              <a:t>（期　</a:t>
            </a:r>
            <a:r>
              <a:rPr lang="en-US" altLang="ja-JP" sz="800" b="0" i="0" u="none" strike="noStrike" baseline="0">
                <a:solidFill>
                  <a:srgbClr val="000000"/>
                </a:solidFill>
                <a:latin typeface="+mj-lt"/>
                <a:ea typeface="メイリオ" panose="020B0604030504040204" pitchFamily="50" charset="-128"/>
              </a:rPr>
              <a:t>FY</a:t>
            </a: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p>
        </xdr:txBody>
      </xdr:sp>
      <xdr:sp macro="" textlink="">
        <xdr:nvSpPr>
          <xdr:cNvPr id="28" name="Text Box 46">
            <a:extLst>
              <a:ext uri="{FF2B5EF4-FFF2-40B4-BE49-F238E27FC236}">
                <a16:creationId xmlns:a16="http://schemas.microsoft.com/office/drawing/2014/main" id="{00000000-0008-0000-0E00-00001C000000}"/>
              </a:ext>
            </a:extLst>
          </xdr:cNvPr>
          <xdr:cNvSpPr txBox="1">
            <a:spLocks noChangeArrowheads="1"/>
          </xdr:cNvSpPr>
        </xdr:nvSpPr>
        <xdr:spPr bwMode="auto">
          <a:xfrm>
            <a:off x="923962" y="4323036"/>
            <a:ext cx="16532917" cy="456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1050" b="1" i="0" u="none" strike="noStrike" baseline="0">
                <a:solidFill>
                  <a:srgbClr val="000000"/>
                </a:solidFill>
                <a:latin typeface="メイリオ" panose="020B0604030504040204" pitchFamily="50" charset="-128"/>
                <a:ea typeface="メイリオ" panose="020B0604030504040204" pitchFamily="50" charset="-128"/>
              </a:rPr>
              <a:t>出品台数・成約台数および成約率（</a:t>
            </a:r>
            <a:r>
              <a:rPr lang="en-US" altLang="ja-JP" sz="1050" b="1" i="0" u="none" strike="noStrike" baseline="0">
                <a:solidFill>
                  <a:srgbClr val="000000"/>
                </a:solidFill>
                <a:latin typeface="メイリオ" panose="020B0604030504040204" pitchFamily="50" charset="-128"/>
                <a:ea typeface="メイリオ" panose="020B0604030504040204" pitchFamily="50" charset="-128"/>
              </a:rPr>
              <a:t>JBA</a:t>
            </a:r>
            <a:r>
              <a:rPr lang="ja-JP" altLang="en-US" sz="1050" b="1" i="0" u="none" strike="noStrike" baseline="0">
                <a:solidFill>
                  <a:srgbClr val="000000"/>
                </a:solidFill>
                <a:latin typeface="メイリオ" panose="020B0604030504040204" pitchFamily="50" charset="-128"/>
                <a:ea typeface="メイリオ" panose="020B0604030504040204" pitchFamily="50" charset="-128"/>
              </a:rPr>
              <a:t>除く）　</a:t>
            </a:r>
            <a:endParaRPr lang="en-US" altLang="ja-JP" sz="1050" b="1" i="0" u="none" strike="noStrike" baseline="0">
              <a:solidFill>
                <a:srgbClr val="000000"/>
              </a:solidFill>
              <a:latin typeface="メイリオ" panose="020B0604030504040204" pitchFamily="50" charset="-128"/>
              <a:ea typeface="メイリオ" panose="020B0604030504040204" pitchFamily="50" charset="-128"/>
            </a:endParaRPr>
          </a:p>
          <a:p>
            <a:pPr algn="l" rtl="0">
              <a:defRPr sz="1000"/>
            </a:pPr>
            <a:r>
              <a:rPr lang="en-US" altLang="ja-JP" sz="1000" b="0" i="0" u="none" strike="noStrike" baseline="0">
                <a:solidFill>
                  <a:srgbClr val="000000"/>
                </a:solidFill>
                <a:latin typeface="+mj-lt"/>
                <a:ea typeface="メイリオ" panose="020B0604030504040204" pitchFamily="50" charset="-128"/>
              </a:rPr>
              <a:t>No. of Consigned Vehicles, No. of Contracted Vehicles and Contract Completion Rate (excl. JBA)</a:t>
            </a:r>
          </a:p>
        </xdr:txBody>
      </xdr:sp>
    </xdr:grpSp>
    <xdr:clientData/>
  </xdr:twoCellAnchor>
  <xdr:twoCellAnchor>
    <xdr:from>
      <xdr:col>14</xdr:col>
      <xdr:colOff>405280</xdr:colOff>
      <xdr:row>1</xdr:row>
      <xdr:rowOff>76573</xdr:rowOff>
    </xdr:from>
    <xdr:to>
      <xdr:col>16</xdr:col>
      <xdr:colOff>124065</xdr:colOff>
      <xdr:row>2</xdr:row>
      <xdr:rowOff>144607</xdr:rowOff>
    </xdr:to>
    <xdr:sp macro="" textlink="">
      <xdr:nvSpPr>
        <xdr:cNvPr id="18" name="テキスト ボックス 17">
          <a:extLst>
            <a:ext uri="{FF2B5EF4-FFF2-40B4-BE49-F238E27FC236}">
              <a16:creationId xmlns:a16="http://schemas.microsoft.com/office/drawing/2014/main" id="{00000000-0008-0000-0E00-000012000000}"/>
            </a:ext>
          </a:extLst>
        </xdr:cNvPr>
        <xdr:cNvSpPr txBox="1"/>
      </xdr:nvSpPr>
      <xdr:spPr>
        <a:xfrm>
          <a:off x="12395574" y="860985"/>
          <a:ext cx="1310020" cy="314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solidFill>
                <a:srgbClr val="BDC3C4"/>
              </a:solidFill>
              <a:latin typeface="メイリオ" panose="020B0604030504040204" pitchFamily="50" charset="-128"/>
              <a:ea typeface="メイリオ" panose="020B0604030504040204" pitchFamily="50" charset="-128"/>
            </a:rPr>
            <a:t>Ⅲ-1.</a:t>
          </a:r>
          <a:r>
            <a:rPr kumimoji="1" lang="ja-JP" altLang="en-US" sz="1050" b="1">
              <a:solidFill>
                <a:srgbClr val="BDC3C4"/>
              </a:solidFill>
              <a:latin typeface="メイリオ" panose="020B0604030504040204" pitchFamily="50" charset="-128"/>
              <a:ea typeface="メイリオ" panose="020B0604030504040204" pitchFamily="50" charset="-128"/>
            </a:rPr>
            <a:t>セグメント</a:t>
          </a:r>
        </a:p>
      </xdr:txBody>
    </xdr:sp>
    <xdr:clientData/>
  </xdr:twoCellAnchor>
  <xdr:twoCellAnchor>
    <xdr:from>
      <xdr:col>0</xdr:col>
      <xdr:colOff>720588</xdr:colOff>
      <xdr:row>18</xdr:row>
      <xdr:rowOff>157369</xdr:rowOff>
    </xdr:from>
    <xdr:to>
      <xdr:col>7</xdr:col>
      <xdr:colOff>541329</xdr:colOff>
      <xdr:row>29</xdr:row>
      <xdr:rowOff>82826</xdr:rowOff>
    </xdr:to>
    <xdr:graphicFrame macro="">
      <xdr:nvGraphicFramePr>
        <xdr:cNvPr id="19" name="グラフ 16">
          <a:extLst>
            <a:ext uri="{FF2B5EF4-FFF2-40B4-BE49-F238E27FC236}">
              <a16:creationId xmlns:a16="http://schemas.microsoft.com/office/drawing/2014/main" id="{00000000-0008-0000-0E00-0000D45D0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745207</xdr:colOff>
      <xdr:row>27</xdr:row>
      <xdr:rowOff>112806</xdr:rowOff>
    </xdr:from>
    <xdr:to>
      <xdr:col>7</xdr:col>
      <xdr:colOff>661848</xdr:colOff>
      <xdr:row>28</xdr:row>
      <xdr:rowOff>46911</xdr:rowOff>
    </xdr:to>
    <xdr:sp macro="" textlink="">
      <xdr:nvSpPr>
        <xdr:cNvPr id="810006" name="Text Box 22">
          <a:extLst>
            <a:ext uri="{FF2B5EF4-FFF2-40B4-BE49-F238E27FC236}">
              <a16:creationId xmlns:a16="http://schemas.microsoft.com/office/drawing/2014/main" id="{00000000-0008-0000-0E00-0000165C0C00}"/>
            </a:ext>
          </a:extLst>
        </xdr:cNvPr>
        <xdr:cNvSpPr txBox="1">
          <a:spLocks noChangeArrowheads="1"/>
        </xdr:cNvSpPr>
      </xdr:nvSpPr>
      <xdr:spPr bwMode="auto">
        <a:xfrm>
          <a:off x="6335968" y="8527936"/>
          <a:ext cx="703489" cy="2488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メイリオ" panose="020B0604030504040204" pitchFamily="50" charset="-128"/>
              <a:ea typeface="メイリオ" panose="020B0604030504040204" pitchFamily="50" charset="-128"/>
            </a:rPr>
            <a:t>（期　</a:t>
          </a:r>
          <a:r>
            <a:rPr lang="en-US" altLang="ja-JP" sz="800" b="0" i="0" u="none" strike="noStrike" baseline="0">
              <a:solidFill>
                <a:srgbClr val="000000"/>
              </a:solidFill>
              <a:latin typeface="+mj-lt"/>
              <a:ea typeface="メイリオ" panose="020B0604030504040204" pitchFamily="50" charset="-128"/>
            </a:rPr>
            <a:t>FY</a:t>
          </a: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7</xdr:col>
      <xdr:colOff>86632</xdr:colOff>
      <xdr:row>19</xdr:row>
      <xdr:rowOff>162719</xdr:rowOff>
    </xdr:from>
    <xdr:to>
      <xdr:col>7</xdr:col>
      <xdr:colOff>497114</xdr:colOff>
      <xdr:row>20</xdr:row>
      <xdr:rowOff>113732</xdr:rowOff>
    </xdr:to>
    <xdr:sp macro="" textlink="">
      <xdr:nvSpPr>
        <xdr:cNvPr id="810002" name="Text Box 18">
          <a:extLst>
            <a:ext uri="{FF2B5EF4-FFF2-40B4-BE49-F238E27FC236}">
              <a16:creationId xmlns:a16="http://schemas.microsoft.com/office/drawing/2014/main" id="{00000000-0008-0000-0E00-0000125C0C00}"/>
            </a:ext>
          </a:extLst>
        </xdr:cNvPr>
        <xdr:cNvSpPr txBox="1">
          <a:spLocks noChangeArrowheads="1"/>
        </xdr:cNvSpPr>
      </xdr:nvSpPr>
      <xdr:spPr bwMode="auto">
        <a:xfrm>
          <a:off x="6468382" y="6408398"/>
          <a:ext cx="410482" cy="2503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800" b="0" i="0" u="none" strike="noStrike" baseline="0">
              <a:solidFill>
                <a:srgbClr val="000000"/>
              </a:solidFill>
              <a:latin typeface="+mj-ea"/>
              <a:ea typeface="+mj-ea"/>
            </a:rPr>
            <a:t>(</a:t>
          </a:r>
          <a:r>
            <a:rPr lang="ja-JP" altLang="en-US" sz="800" b="0" i="0" u="none" strike="noStrike" baseline="0">
              <a:solidFill>
                <a:srgbClr val="000000"/>
              </a:solidFill>
              <a:latin typeface="+mj-ea"/>
              <a:ea typeface="+mj-ea"/>
            </a:rPr>
            <a:t>％</a:t>
          </a:r>
          <a:r>
            <a:rPr lang="en-US" altLang="ja-JP" sz="800" b="0" i="0" u="none" strike="noStrike" baseline="0">
              <a:solidFill>
                <a:srgbClr val="000000"/>
              </a:solidFill>
              <a:latin typeface="+mj-ea"/>
              <a:ea typeface="+mj-ea"/>
            </a:rPr>
            <a:t>)</a:t>
          </a:r>
        </a:p>
      </xdr:txBody>
    </xdr:sp>
    <xdr:clientData/>
  </xdr:twoCellAnchor>
  <xdr:twoCellAnchor>
    <xdr:from>
      <xdr:col>0</xdr:col>
      <xdr:colOff>836346</xdr:colOff>
      <xdr:row>19</xdr:row>
      <xdr:rowOff>60447</xdr:rowOff>
    </xdr:from>
    <xdr:to>
      <xdr:col>2</xdr:col>
      <xdr:colOff>191821</xdr:colOff>
      <xdr:row>19</xdr:row>
      <xdr:rowOff>297442</xdr:rowOff>
    </xdr:to>
    <xdr:sp macro="" textlink="">
      <xdr:nvSpPr>
        <xdr:cNvPr id="810001" name="Text Box 17">
          <a:extLst>
            <a:ext uri="{FF2B5EF4-FFF2-40B4-BE49-F238E27FC236}">
              <a16:creationId xmlns:a16="http://schemas.microsoft.com/office/drawing/2014/main" id="{00000000-0008-0000-0E00-0000115C0C00}"/>
            </a:ext>
          </a:extLst>
        </xdr:cNvPr>
        <xdr:cNvSpPr txBox="1">
          <a:spLocks noChangeArrowheads="1"/>
        </xdr:cNvSpPr>
      </xdr:nvSpPr>
      <xdr:spPr bwMode="auto">
        <a:xfrm>
          <a:off x="836346" y="6305534"/>
          <a:ext cx="1508953" cy="2369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l" rtl="0">
            <a:defRPr sz="1000"/>
          </a:pP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800" b="0" i="0" u="none" strike="noStrike" baseline="0">
              <a:solidFill>
                <a:srgbClr val="000000"/>
              </a:solidFill>
              <a:latin typeface="メイリオ" panose="020B0604030504040204" pitchFamily="50" charset="-128"/>
              <a:ea typeface="メイリオ" panose="020B0604030504040204" pitchFamily="50" charset="-128"/>
            </a:rPr>
            <a:t>百万円　</a:t>
          </a:r>
          <a:r>
            <a:rPr lang="en-US" altLang="ja-JP" sz="800" b="0" i="0" u="none" strike="noStrike" baseline="0">
              <a:solidFill>
                <a:srgbClr val="000000"/>
              </a:solidFill>
              <a:latin typeface="+mj-lt"/>
              <a:ea typeface="メイリオ" panose="020B0604030504040204" pitchFamily="50" charset="-128"/>
            </a:rPr>
            <a:t>Million Yen</a:t>
          </a: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1</xdr:col>
      <xdr:colOff>16998</xdr:colOff>
      <xdr:row>16</xdr:row>
      <xdr:rowOff>60057</xdr:rowOff>
    </xdr:from>
    <xdr:to>
      <xdr:col>7</xdr:col>
      <xdr:colOff>448235</xdr:colOff>
      <xdr:row>19</xdr:row>
      <xdr:rowOff>92053</xdr:rowOff>
    </xdr:to>
    <xdr:sp macro="" textlink="">
      <xdr:nvSpPr>
        <xdr:cNvPr id="25" name="Text Box 46">
          <a:extLst>
            <a:ext uri="{FF2B5EF4-FFF2-40B4-BE49-F238E27FC236}">
              <a16:creationId xmlns:a16="http://schemas.microsoft.com/office/drawing/2014/main" id="{00000000-0008-0000-0E00-000019000000}"/>
            </a:ext>
          </a:extLst>
        </xdr:cNvPr>
        <xdr:cNvSpPr txBox="1">
          <a:spLocks noChangeArrowheads="1"/>
        </xdr:cNvSpPr>
      </xdr:nvSpPr>
      <xdr:spPr bwMode="auto">
        <a:xfrm>
          <a:off x="879851" y="5674204"/>
          <a:ext cx="5989355" cy="6707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1050" b="1" i="0" u="none" strike="noStrike" baseline="0">
              <a:solidFill>
                <a:srgbClr val="000000"/>
              </a:solidFill>
              <a:latin typeface="メイリオ" panose="020B0604030504040204" pitchFamily="50" charset="-128"/>
              <a:ea typeface="メイリオ" panose="020B0604030504040204" pitchFamily="50" charset="-128"/>
            </a:rPr>
            <a:t>オートオークション 売上推移　</a:t>
          </a:r>
          <a:endParaRPr lang="en-US" altLang="ja-JP" sz="1050" b="1" i="0" u="none" strike="noStrike" baseline="0">
            <a:solidFill>
              <a:srgbClr val="000000"/>
            </a:solidFill>
            <a:latin typeface="メイリオ" panose="020B0604030504040204" pitchFamily="50" charset="-128"/>
            <a:ea typeface="メイリオ" panose="020B0604030504040204" pitchFamily="50" charset="-128"/>
          </a:endParaRPr>
        </a:p>
        <a:p>
          <a:pPr algn="l" rtl="0">
            <a:defRPr sz="1000"/>
          </a:pPr>
          <a:r>
            <a:rPr lang="en-US" altLang="ja-JP" sz="1000" b="0" i="0" u="none" strike="noStrike" baseline="0">
              <a:solidFill>
                <a:srgbClr val="000000"/>
              </a:solidFill>
              <a:latin typeface="+mj-lt"/>
              <a:ea typeface="メイリオ" panose="020B0604030504040204" pitchFamily="50" charset="-128"/>
            </a:rPr>
            <a:t>Auto Auction Business - Net Sales and Operating Margin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821533</xdr:colOff>
      <xdr:row>14</xdr:row>
      <xdr:rowOff>212911</xdr:rowOff>
    </xdr:from>
    <xdr:to>
      <xdr:col>15</xdr:col>
      <xdr:colOff>728664</xdr:colOff>
      <xdr:row>24</xdr:row>
      <xdr:rowOff>83516</xdr:rowOff>
    </xdr:to>
    <xdr:graphicFrame macro="">
      <xdr:nvGraphicFramePr>
        <xdr:cNvPr id="667997" name="グラフ 17">
          <a:extLst>
            <a:ext uri="{FF2B5EF4-FFF2-40B4-BE49-F238E27FC236}">
              <a16:creationId xmlns:a16="http://schemas.microsoft.com/office/drawing/2014/main" id="{00000000-0008-0000-0F00-00005D31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861593</xdr:colOff>
      <xdr:row>15</xdr:row>
      <xdr:rowOff>138468</xdr:rowOff>
    </xdr:from>
    <xdr:to>
      <xdr:col>1</xdr:col>
      <xdr:colOff>1227465</xdr:colOff>
      <xdr:row>16</xdr:row>
      <xdr:rowOff>164013</xdr:rowOff>
    </xdr:to>
    <xdr:sp macro="" textlink="">
      <xdr:nvSpPr>
        <xdr:cNvPr id="667662" name="Text Box 14">
          <a:extLst>
            <a:ext uri="{FF2B5EF4-FFF2-40B4-BE49-F238E27FC236}">
              <a16:creationId xmlns:a16="http://schemas.microsoft.com/office/drawing/2014/main" id="{00000000-0008-0000-0F00-00000E300A00}"/>
            </a:ext>
          </a:extLst>
        </xdr:cNvPr>
        <xdr:cNvSpPr txBox="1">
          <a:spLocks noChangeArrowheads="1"/>
        </xdr:cNvSpPr>
      </xdr:nvSpPr>
      <xdr:spPr bwMode="auto">
        <a:xfrm>
          <a:off x="861593" y="4194997"/>
          <a:ext cx="1228725" cy="3505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l" rtl="0">
            <a:defRPr sz="1000"/>
          </a:pPr>
          <a:r>
            <a:rPr lang="en-US" altLang="ja-JP" sz="800" b="0" i="0" u="none" strike="noStrike" baseline="0">
              <a:solidFill>
                <a:srgbClr val="000000"/>
              </a:solidFill>
              <a:latin typeface="+mj-lt"/>
              <a:ea typeface="メイリオ" panose="020B0604030504040204" pitchFamily="50" charset="-128"/>
            </a:rPr>
            <a:t>(</a:t>
          </a:r>
          <a:r>
            <a:rPr lang="ja-JP" altLang="en-US" sz="800" b="0" i="0" u="none" strike="noStrike" baseline="0">
              <a:solidFill>
                <a:srgbClr val="000000"/>
              </a:solidFill>
              <a:latin typeface="+mj-lt"/>
              <a:ea typeface="メイリオ" panose="020B0604030504040204" pitchFamily="50" charset="-128"/>
            </a:rPr>
            <a:t>百万円</a:t>
          </a:r>
          <a:r>
            <a:rPr lang="en-US" altLang="ja-JP" sz="800" b="0" i="0" u="none" strike="noStrike" baseline="0">
              <a:solidFill>
                <a:srgbClr val="000000"/>
              </a:solidFill>
              <a:latin typeface="+mj-lt"/>
              <a:ea typeface="メイリオ" panose="020B0604030504040204" pitchFamily="50" charset="-128"/>
            </a:rPr>
            <a:t>  Million Yen)</a:t>
          </a:r>
        </a:p>
      </xdr:txBody>
    </xdr:sp>
    <xdr:clientData/>
  </xdr:twoCellAnchor>
  <xdr:twoCellAnchor>
    <xdr:from>
      <xdr:col>12</xdr:col>
      <xdr:colOff>11362</xdr:colOff>
      <xdr:row>23</xdr:row>
      <xdr:rowOff>168894</xdr:rowOff>
    </xdr:from>
    <xdr:to>
      <xdr:col>13</xdr:col>
      <xdr:colOff>1837</xdr:colOff>
      <xdr:row>24</xdr:row>
      <xdr:rowOff>110591</xdr:rowOff>
    </xdr:to>
    <xdr:sp macro="" textlink="">
      <xdr:nvSpPr>
        <xdr:cNvPr id="667666" name="Text Box 18">
          <a:extLst>
            <a:ext uri="{FF2B5EF4-FFF2-40B4-BE49-F238E27FC236}">
              <a16:creationId xmlns:a16="http://schemas.microsoft.com/office/drawing/2014/main" id="{00000000-0008-0000-0F00-000012300A00}"/>
            </a:ext>
          </a:extLst>
        </xdr:cNvPr>
        <xdr:cNvSpPr txBox="1">
          <a:spLocks noChangeArrowheads="1"/>
        </xdr:cNvSpPr>
      </xdr:nvSpPr>
      <xdr:spPr bwMode="auto">
        <a:xfrm>
          <a:off x="10441237" y="6007719"/>
          <a:ext cx="733425" cy="1512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mj-lt"/>
              <a:ea typeface="メイリオ" panose="020B0604030504040204" pitchFamily="50" charset="-128"/>
            </a:rPr>
            <a:t>（期　</a:t>
          </a:r>
          <a:r>
            <a:rPr lang="en-US" altLang="ja-JP" sz="800" b="0" i="0" u="none" strike="noStrike" baseline="0">
              <a:solidFill>
                <a:srgbClr val="000000"/>
              </a:solidFill>
              <a:latin typeface="+mj-lt"/>
              <a:ea typeface="メイリオ" panose="020B0604030504040204" pitchFamily="50" charset="-128"/>
            </a:rPr>
            <a:t>FY)</a:t>
          </a:r>
        </a:p>
      </xdr:txBody>
    </xdr:sp>
    <xdr:clientData/>
  </xdr:twoCellAnchor>
  <xdr:twoCellAnchor>
    <xdr:from>
      <xdr:col>1</xdr:col>
      <xdr:colOff>11205</xdr:colOff>
      <xdr:row>2</xdr:row>
      <xdr:rowOff>739589</xdr:rowOff>
    </xdr:from>
    <xdr:to>
      <xdr:col>8</xdr:col>
      <xdr:colOff>604183</xdr:colOff>
      <xdr:row>3</xdr:row>
      <xdr:rowOff>288315</xdr:rowOff>
    </xdr:to>
    <xdr:sp macro="" textlink="">
      <xdr:nvSpPr>
        <xdr:cNvPr id="19" name="Text Box 46">
          <a:extLst>
            <a:ext uri="{FF2B5EF4-FFF2-40B4-BE49-F238E27FC236}">
              <a16:creationId xmlns:a16="http://schemas.microsoft.com/office/drawing/2014/main" id="{00000000-0008-0000-0F00-000013000000}"/>
            </a:ext>
          </a:extLst>
        </xdr:cNvPr>
        <xdr:cNvSpPr txBox="1">
          <a:spLocks noChangeArrowheads="1"/>
        </xdr:cNvSpPr>
      </xdr:nvSpPr>
      <xdr:spPr bwMode="auto">
        <a:xfrm>
          <a:off x="862852" y="1826560"/>
          <a:ext cx="7540625" cy="3443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1200" b="1" i="0" u="none" strike="noStrike" baseline="0">
              <a:solidFill>
                <a:srgbClr val="004098"/>
              </a:solidFill>
              <a:latin typeface="+mj-lt"/>
              <a:ea typeface="メイリオ" panose="020B0604030504040204" pitchFamily="50" charset="-128"/>
            </a:rPr>
            <a:t>オートオークション </a:t>
          </a:r>
          <a:r>
            <a:rPr lang="en-US" altLang="ja-JP" sz="1200" b="1" i="0" u="none" strike="noStrike" baseline="0">
              <a:solidFill>
                <a:srgbClr val="004098"/>
              </a:solidFill>
              <a:latin typeface="+mj-lt"/>
              <a:ea typeface="メイリオ" panose="020B0604030504040204" pitchFamily="50" charset="-128"/>
            </a:rPr>
            <a:t>- </a:t>
          </a:r>
          <a:r>
            <a:rPr lang="ja-JP" altLang="en-US" sz="1200" b="1" i="0" u="none" strike="noStrike" baseline="0">
              <a:solidFill>
                <a:srgbClr val="004098"/>
              </a:solidFill>
              <a:latin typeface="+mj-lt"/>
              <a:ea typeface="メイリオ" panose="020B0604030504040204" pitchFamily="50" charset="-128"/>
            </a:rPr>
            <a:t>売上内訳推移　</a:t>
          </a:r>
          <a:r>
            <a:rPr lang="en-US" altLang="ja-JP" sz="1100" b="0" i="0" u="none" strike="noStrike" baseline="0">
              <a:solidFill>
                <a:srgbClr val="004098"/>
              </a:solidFill>
              <a:latin typeface="+mj-lt"/>
              <a:ea typeface="メイリオ" panose="020B0604030504040204" pitchFamily="50" charset="-128"/>
            </a:rPr>
            <a:t>Auto Auction Business - Sales Composition</a:t>
          </a:r>
        </a:p>
      </xdr:txBody>
    </xdr:sp>
    <xdr:clientData/>
  </xdr:twoCellAnchor>
  <xdr:twoCellAnchor>
    <xdr:from>
      <xdr:col>0</xdr:col>
      <xdr:colOff>678889</xdr:colOff>
      <xdr:row>0</xdr:row>
      <xdr:rowOff>768723</xdr:rowOff>
    </xdr:from>
    <xdr:to>
      <xdr:col>10</xdr:col>
      <xdr:colOff>578037</xdr:colOff>
      <xdr:row>2</xdr:row>
      <xdr:rowOff>109140</xdr:rowOff>
    </xdr:to>
    <xdr:sp macro="" textlink="">
      <xdr:nvSpPr>
        <xdr:cNvPr id="20" name="テキスト ボックス 19">
          <a:extLst>
            <a:ext uri="{FF2B5EF4-FFF2-40B4-BE49-F238E27FC236}">
              <a16:creationId xmlns:a16="http://schemas.microsoft.com/office/drawing/2014/main" id="{00000000-0008-0000-0F00-000014000000}"/>
            </a:ext>
          </a:extLst>
        </xdr:cNvPr>
        <xdr:cNvSpPr txBox="1"/>
      </xdr:nvSpPr>
      <xdr:spPr>
        <a:xfrm>
          <a:off x="678889" y="768723"/>
          <a:ext cx="9005048" cy="426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j-lt"/>
              <a:ea typeface="メイリオ" panose="020B0604030504040204" pitchFamily="50" charset="-128"/>
            </a:rPr>
            <a:t>（３）オートオークション － 売上内訳推移　</a:t>
          </a:r>
          <a:r>
            <a:rPr kumimoji="1" lang="en-US" altLang="ja-JP" sz="1200" b="0">
              <a:latin typeface="+mj-lt"/>
              <a:ea typeface="メイリオ" panose="020B0604030504040204" pitchFamily="50" charset="-128"/>
            </a:rPr>
            <a:t>Auto Auction Business - Sales Composition</a:t>
          </a:r>
          <a:endParaRPr kumimoji="1" lang="ja-JP" altLang="en-US" sz="1400" b="0">
            <a:latin typeface="+mj-lt"/>
            <a:ea typeface="メイリオ" panose="020B0604030504040204" pitchFamily="50" charset="-128"/>
          </a:endParaRPr>
        </a:p>
      </xdr:txBody>
    </xdr:sp>
    <xdr:clientData/>
  </xdr:twoCellAnchor>
  <xdr:twoCellAnchor>
    <xdr:from>
      <xdr:col>1</xdr:col>
      <xdr:colOff>11205</xdr:colOff>
      <xdr:row>24</xdr:row>
      <xdr:rowOff>188500</xdr:rowOff>
    </xdr:from>
    <xdr:to>
      <xdr:col>8</xdr:col>
      <xdr:colOff>604183</xdr:colOff>
      <xdr:row>26</xdr:row>
      <xdr:rowOff>115959</xdr:rowOff>
    </xdr:to>
    <xdr:sp macro="" textlink="">
      <xdr:nvSpPr>
        <xdr:cNvPr id="22" name="Text Box 46">
          <a:extLst>
            <a:ext uri="{FF2B5EF4-FFF2-40B4-BE49-F238E27FC236}">
              <a16:creationId xmlns:a16="http://schemas.microsoft.com/office/drawing/2014/main" id="{00000000-0008-0000-0F00-000016000000}"/>
            </a:ext>
          </a:extLst>
        </xdr:cNvPr>
        <xdr:cNvSpPr txBox="1">
          <a:spLocks noChangeArrowheads="1"/>
        </xdr:cNvSpPr>
      </xdr:nvSpPr>
      <xdr:spPr bwMode="auto">
        <a:xfrm>
          <a:off x="852580" y="6094000"/>
          <a:ext cx="7228728" cy="340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en-US" altLang="ja-JP" sz="1200" b="1" i="0" u="none" strike="noStrike" baseline="0">
              <a:solidFill>
                <a:srgbClr val="004098"/>
              </a:solidFill>
              <a:latin typeface="+mj-lt"/>
              <a:ea typeface="メイリオ" panose="020B0604030504040204" pitchFamily="50" charset="-128"/>
            </a:rPr>
            <a:t>1</a:t>
          </a:r>
          <a:r>
            <a:rPr lang="ja-JP" altLang="en-US" sz="1200" b="1" i="0" u="none" strike="noStrike" baseline="0">
              <a:solidFill>
                <a:srgbClr val="004098"/>
              </a:solidFill>
              <a:latin typeface="+mj-lt"/>
              <a:ea typeface="メイリオ" panose="020B0604030504040204" pitchFamily="50" charset="-128"/>
            </a:rPr>
            <a:t>台当たり手数料（</a:t>
          </a:r>
          <a:r>
            <a:rPr lang="en-US" altLang="ja-JP" sz="1200" b="1" i="0" u="none" strike="noStrike" baseline="0">
              <a:solidFill>
                <a:srgbClr val="004098"/>
              </a:solidFill>
              <a:latin typeface="+mj-lt"/>
              <a:ea typeface="メイリオ" panose="020B0604030504040204" pitchFamily="50" charset="-128"/>
            </a:rPr>
            <a:t>JBA</a:t>
          </a:r>
          <a:r>
            <a:rPr lang="ja-JP" altLang="en-US" sz="1200" b="1" i="0" u="none" strike="noStrike" baseline="0">
              <a:solidFill>
                <a:srgbClr val="004098"/>
              </a:solidFill>
              <a:latin typeface="+mj-lt"/>
              <a:ea typeface="メイリオ" panose="020B0604030504040204" pitchFamily="50" charset="-128"/>
            </a:rPr>
            <a:t>除く）　</a:t>
          </a:r>
          <a:r>
            <a:rPr lang="en-US" altLang="ja-JP" sz="1100" b="0" i="0" u="none" strike="noStrike" baseline="0">
              <a:solidFill>
                <a:srgbClr val="004098"/>
              </a:solidFill>
              <a:latin typeface="+mj-lt"/>
              <a:ea typeface="メイリオ" panose="020B0604030504040204" pitchFamily="50" charset="-128"/>
            </a:rPr>
            <a:t>Fees per Vehicle (excl. JBA)</a:t>
          </a:r>
        </a:p>
      </xdr:txBody>
    </xdr:sp>
    <xdr:clientData/>
  </xdr:twoCellAnchor>
  <xdr:twoCellAnchor>
    <xdr:from>
      <xdr:col>1</xdr:col>
      <xdr:colOff>19487</xdr:colOff>
      <xdr:row>32</xdr:row>
      <xdr:rowOff>54499</xdr:rowOff>
    </xdr:from>
    <xdr:to>
      <xdr:col>10</xdr:col>
      <xdr:colOff>117139</xdr:colOff>
      <xdr:row>35</xdr:row>
      <xdr:rowOff>93083</xdr:rowOff>
    </xdr:to>
    <xdr:sp macro="" textlink="">
      <xdr:nvSpPr>
        <xdr:cNvPr id="23" name="Text Box 46">
          <a:extLst>
            <a:ext uri="{FF2B5EF4-FFF2-40B4-BE49-F238E27FC236}">
              <a16:creationId xmlns:a16="http://schemas.microsoft.com/office/drawing/2014/main" id="{00000000-0008-0000-0F00-000017000000}"/>
            </a:ext>
          </a:extLst>
        </xdr:cNvPr>
        <xdr:cNvSpPr txBox="1">
          <a:spLocks noChangeArrowheads="1"/>
        </xdr:cNvSpPr>
      </xdr:nvSpPr>
      <xdr:spPr bwMode="auto">
        <a:xfrm>
          <a:off x="880878" y="7699347"/>
          <a:ext cx="8198044" cy="6680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en-US" altLang="ja-JP" sz="1200" b="1" i="0" u="none" strike="noStrike" baseline="0">
              <a:solidFill>
                <a:srgbClr val="004098"/>
              </a:solidFill>
              <a:latin typeface="+mj-lt"/>
              <a:ea typeface="メイリオ" panose="020B0604030504040204" pitchFamily="50" charset="-128"/>
            </a:rPr>
            <a:t>1</a:t>
          </a:r>
          <a:r>
            <a:rPr lang="ja-JP" altLang="en-US" sz="1200" b="1" i="0" u="none" strike="noStrike" baseline="0">
              <a:solidFill>
                <a:srgbClr val="004098"/>
              </a:solidFill>
              <a:latin typeface="+mj-lt"/>
              <a:ea typeface="メイリオ" panose="020B0604030504040204" pitchFamily="50" charset="-128"/>
            </a:rPr>
            <a:t>台当たり手数料　低額車除く（</a:t>
          </a:r>
          <a:r>
            <a:rPr lang="en-US" altLang="ja-JP" sz="1200" b="1" i="0" u="none" strike="noStrike" baseline="0">
              <a:solidFill>
                <a:srgbClr val="004098"/>
              </a:solidFill>
              <a:latin typeface="+mj-lt"/>
              <a:ea typeface="メイリオ" panose="020B0604030504040204" pitchFamily="50" charset="-128"/>
            </a:rPr>
            <a:t>JBA</a:t>
          </a:r>
          <a:r>
            <a:rPr lang="ja-JP" altLang="en-US" sz="1200" b="1" i="0" u="none" strike="noStrike" baseline="0">
              <a:solidFill>
                <a:srgbClr val="004098"/>
              </a:solidFill>
              <a:latin typeface="+mj-lt"/>
              <a:ea typeface="メイリオ" panose="020B0604030504040204" pitchFamily="50" charset="-128"/>
            </a:rPr>
            <a:t>除く）　</a:t>
          </a:r>
          <a:r>
            <a:rPr lang="en-US" altLang="ja-JP" sz="1100" b="0" i="0" u="none" strike="noStrike" baseline="0">
              <a:solidFill>
                <a:srgbClr val="004098"/>
              </a:solidFill>
              <a:latin typeface="+mj-lt"/>
              <a:ea typeface="メイリオ" panose="020B0604030504040204" pitchFamily="50" charset="-128"/>
            </a:rPr>
            <a:t>Fees per Vehicle Excluding Lower-priced vehicles (excl. JBA)</a:t>
          </a:r>
        </a:p>
      </xdr:txBody>
    </xdr:sp>
    <xdr:clientData/>
  </xdr:twoCellAnchor>
  <xdr:twoCellAnchor>
    <xdr:from>
      <xdr:col>14</xdr:col>
      <xdr:colOff>54429</xdr:colOff>
      <xdr:row>1</xdr:row>
      <xdr:rowOff>122463</xdr:rowOff>
    </xdr:from>
    <xdr:to>
      <xdr:col>16</xdr:col>
      <xdr:colOff>43543</xdr:colOff>
      <xdr:row>2</xdr:row>
      <xdr:rowOff>199569</xdr:rowOff>
    </xdr:to>
    <xdr:sp macro="" textlink="">
      <xdr:nvSpPr>
        <xdr:cNvPr id="13" name="テキスト ボックス 12">
          <a:extLst>
            <a:ext uri="{FF2B5EF4-FFF2-40B4-BE49-F238E27FC236}">
              <a16:creationId xmlns:a16="http://schemas.microsoft.com/office/drawing/2014/main" id="{00000000-0008-0000-0F00-00000D000000}"/>
            </a:ext>
          </a:extLst>
        </xdr:cNvPr>
        <xdr:cNvSpPr txBox="1"/>
      </xdr:nvSpPr>
      <xdr:spPr>
        <a:xfrm>
          <a:off x="12042322" y="966106"/>
          <a:ext cx="1485900" cy="322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50" b="1">
              <a:solidFill>
                <a:srgbClr val="BDC3C4"/>
              </a:solidFill>
              <a:latin typeface="+mj-lt"/>
              <a:ea typeface="メイリオ" panose="020B0604030504040204" pitchFamily="50" charset="-128"/>
            </a:rPr>
            <a:t>Ⅲ-1.</a:t>
          </a:r>
          <a:r>
            <a:rPr kumimoji="1" lang="ja-JP" altLang="en-US" sz="1050" b="1">
              <a:solidFill>
                <a:srgbClr val="BDC3C4"/>
              </a:solidFill>
              <a:latin typeface="+mj-lt"/>
              <a:ea typeface="メイリオ" panose="020B0604030504040204" pitchFamily="50" charset="-128"/>
            </a:rPr>
            <a:t>セグメント</a:t>
          </a:r>
        </a:p>
      </xdr:txBody>
    </xdr:sp>
    <xdr:clientData/>
  </xdr:twoCellAnchor>
</xdr:wsDr>
</file>

<file path=xl/drawings/drawing19.xml><?xml version="1.0" encoding="utf-8"?>
<c:userShapes xmlns:c="http://schemas.openxmlformats.org/drawingml/2006/chart">
  <cdr:relSizeAnchor xmlns:cdr="http://schemas.openxmlformats.org/drawingml/2006/chartDrawing">
    <cdr:from>
      <cdr:x>0.0026</cdr:x>
      <cdr:y>0.01411</cdr:y>
    </cdr:from>
    <cdr:to>
      <cdr:x>0.50303</cdr:x>
      <cdr:y>0.10452</cdr:y>
    </cdr:to>
    <cdr:sp macro="" textlink="">
      <cdr:nvSpPr>
        <cdr:cNvPr id="2" name="Text Box 46">
          <a:extLst xmlns:a="http://schemas.openxmlformats.org/drawingml/2006/main">
            <a:ext uri="{FF2B5EF4-FFF2-40B4-BE49-F238E27FC236}">
              <a16:creationId xmlns:a16="http://schemas.microsoft.com/office/drawing/2014/main" id="{C1375EF0-2388-4715-8F85-6A69E522AE69}"/>
            </a:ext>
          </a:extLst>
        </cdr:cNvPr>
        <cdr:cNvSpPr txBox="1">
          <a:spLocks xmlns:a="http://schemas.openxmlformats.org/drawingml/2006/main" noChangeArrowheads="1"/>
        </cdr:cNvSpPr>
      </cdr:nvSpPr>
      <cdr:spPr bwMode="auto">
        <a:xfrm xmlns:a="http://schemas.openxmlformats.org/drawingml/2006/main">
          <a:off x="32870" y="27214"/>
          <a:ext cx="6320336" cy="17433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18288"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1000" b="1" i="0" u="none" strike="noStrike" baseline="0">
              <a:solidFill>
                <a:srgbClr val="000000"/>
              </a:solidFill>
              <a:latin typeface="メイリオ" panose="020B0604030504040204" pitchFamily="50" charset="-128"/>
              <a:ea typeface="メイリオ" panose="020B0604030504040204" pitchFamily="50" charset="-128"/>
            </a:rPr>
            <a:t>オートオークション　売上内訳　</a:t>
          </a:r>
          <a:r>
            <a:rPr lang="en-US" altLang="ja-JP" sz="900" b="0" i="0" u="none" strike="noStrike" baseline="0">
              <a:solidFill>
                <a:srgbClr val="000000"/>
              </a:solidFill>
              <a:latin typeface="+mj-lt"/>
              <a:ea typeface="メイリオ" panose="020B0604030504040204" pitchFamily="50" charset="-128"/>
            </a:rPr>
            <a:t>Auto Auction Business - Sales Composition</a:t>
          </a: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437383</xdr:colOff>
      <xdr:row>3</xdr:row>
      <xdr:rowOff>308119</xdr:rowOff>
    </xdr:from>
    <xdr:to>
      <xdr:col>8</xdr:col>
      <xdr:colOff>9525</xdr:colOff>
      <xdr:row>5</xdr:row>
      <xdr:rowOff>117621</xdr:rowOff>
    </xdr:to>
    <xdr:grpSp>
      <xdr:nvGrpSpPr>
        <xdr:cNvPr id="2" name="グループ化 1">
          <a:extLst>
            <a:ext uri="{FF2B5EF4-FFF2-40B4-BE49-F238E27FC236}">
              <a16:creationId xmlns:a16="http://schemas.microsoft.com/office/drawing/2014/main" id="{00000000-0008-0000-0200-00000B000000}"/>
            </a:ext>
          </a:extLst>
        </xdr:cNvPr>
        <xdr:cNvGrpSpPr/>
      </xdr:nvGrpSpPr>
      <xdr:grpSpPr>
        <a:xfrm>
          <a:off x="596695" y="1002685"/>
          <a:ext cx="4266619" cy="318289"/>
          <a:chOff x="477214" y="1091046"/>
          <a:chExt cx="4536057" cy="337706"/>
        </a:xfrm>
      </xdr:grpSpPr>
      <xdr:sp macro="" textlink="">
        <xdr:nvSpPr>
          <xdr:cNvPr id="3" name="テキスト ボックス 2">
            <a:extLst>
              <a:ext uri="{FF2B5EF4-FFF2-40B4-BE49-F238E27FC236}">
                <a16:creationId xmlns:a16="http://schemas.microsoft.com/office/drawing/2014/main" id="{00000000-0008-0000-0200-00002B000000}"/>
              </a:ext>
            </a:extLst>
          </xdr:cNvPr>
          <xdr:cNvSpPr txBox="1"/>
        </xdr:nvSpPr>
        <xdr:spPr>
          <a:xfrm>
            <a:off x="477214" y="1091046"/>
            <a:ext cx="4536057" cy="337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baseline="0">
                <a:solidFill>
                  <a:sysClr val="windowText" lastClr="000000"/>
                </a:solidFill>
                <a:latin typeface="+mn-lt"/>
                <a:ea typeface="メイリオ" panose="020B0604030504040204" pitchFamily="50" charset="-128"/>
              </a:rPr>
              <a:t>Ⅰ.</a:t>
            </a:r>
            <a:r>
              <a:rPr kumimoji="1" lang="ja-JP" altLang="en-US" sz="900" b="1" baseline="0">
                <a:solidFill>
                  <a:sysClr val="windowText" lastClr="000000"/>
                </a:solidFill>
                <a:latin typeface="+mn-lt"/>
                <a:ea typeface="メイリオ" panose="020B0604030504040204" pitchFamily="50" charset="-128"/>
              </a:rPr>
              <a:t> 主要データ（年度）　 </a:t>
            </a:r>
            <a:r>
              <a:rPr kumimoji="1" lang="ja-JP" altLang="en-US" sz="800" baseline="0">
                <a:solidFill>
                  <a:sysClr val="windowText" lastClr="000000"/>
                </a:solidFill>
                <a:latin typeface="+mn-lt"/>
                <a:ea typeface="メイリオ" panose="020B0604030504040204" pitchFamily="50" charset="-128"/>
                <a:cs typeface="Calibri" panose="020F0502020204030204" pitchFamily="34" charset="0"/>
              </a:rPr>
              <a:t> </a:t>
            </a:r>
            <a:r>
              <a:rPr kumimoji="1" lang="en-US" altLang="ja-JP" sz="800" baseline="0">
                <a:solidFill>
                  <a:sysClr val="windowText" lastClr="000000"/>
                </a:solidFill>
                <a:latin typeface="+mn-lt"/>
                <a:ea typeface="メイリオ" panose="020B0604030504040204" pitchFamily="50" charset="-128"/>
                <a:cs typeface="Calibri" panose="020F0502020204030204" pitchFamily="34" charset="0"/>
              </a:rPr>
              <a:t>Main Financial Indicators (Fiscal Year) </a:t>
            </a:r>
            <a:r>
              <a:rPr kumimoji="1" lang="en-US" altLang="ja-JP" sz="700" b="0" i="0" u="none" strike="noStrike" kern="0" cap="none" spc="0" normalizeH="0" baseline="0" noProof="0">
                <a:ln>
                  <a:noFill/>
                </a:ln>
                <a:solidFill>
                  <a:sysClr val="windowText" lastClr="000000"/>
                </a:solidFill>
                <a:effectLst/>
                <a:uLnTx/>
                <a:uFillTx/>
                <a:latin typeface="+mn-lt"/>
                <a:ea typeface="メイリオ" panose="020B0604030504040204" pitchFamily="50" charset="-128"/>
                <a:cs typeface="+mn-cs"/>
              </a:rPr>
              <a:t>…….......… 1</a:t>
            </a:r>
            <a:endParaRPr kumimoji="1" lang="ja-JP" altLang="en-US" sz="700" baseline="0">
              <a:solidFill>
                <a:sysClr val="windowText" lastClr="000000"/>
              </a:solidFill>
              <a:latin typeface="+mn-lt"/>
              <a:ea typeface="メイリオ" panose="020B0604030504040204" pitchFamily="50" charset="-128"/>
            </a:endParaRPr>
          </a:p>
        </xdr:txBody>
      </xdr:sp>
      <xdr:cxnSp macro="">
        <xdr:nvCxnSpPr>
          <xdr:cNvPr id="4" name="直線コネクタ 3">
            <a:extLst>
              <a:ext uri="{FF2B5EF4-FFF2-40B4-BE49-F238E27FC236}">
                <a16:creationId xmlns:a16="http://schemas.microsoft.com/office/drawing/2014/main" id="{00000000-0008-0000-0200-00001F000000}"/>
              </a:ext>
            </a:extLst>
          </xdr:cNvPr>
          <xdr:cNvCxnSpPr/>
        </xdr:nvCxnSpPr>
        <xdr:spPr bwMode="auto">
          <a:xfrm>
            <a:off x="557312" y="1351849"/>
            <a:ext cx="3976311"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xdr:col>
      <xdr:colOff>411582</xdr:colOff>
      <xdr:row>2</xdr:row>
      <xdr:rowOff>4260</xdr:rowOff>
    </xdr:from>
    <xdr:to>
      <xdr:col>4</xdr:col>
      <xdr:colOff>1332601</xdr:colOff>
      <xdr:row>3</xdr:row>
      <xdr:rowOff>228598</xdr:rowOff>
    </xdr:to>
    <xdr:grpSp>
      <xdr:nvGrpSpPr>
        <xdr:cNvPr id="5" name="グループ化 4">
          <a:extLst>
            <a:ext uri="{FF2B5EF4-FFF2-40B4-BE49-F238E27FC236}">
              <a16:creationId xmlns:a16="http://schemas.microsoft.com/office/drawing/2014/main" id="{00000000-0008-0000-0200-00004E000000}"/>
            </a:ext>
          </a:extLst>
        </xdr:cNvPr>
        <xdr:cNvGrpSpPr/>
      </xdr:nvGrpSpPr>
      <xdr:grpSpPr>
        <a:xfrm>
          <a:off x="572495" y="446625"/>
          <a:ext cx="1608758" cy="482608"/>
          <a:chOff x="459227" y="431342"/>
          <a:chExt cx="1764622" cy="388590"/>
        </a:xfrm>
      </xdr:grpSpPr>
      <xdr:sp macro="" textlink="">
        <xdr:nvSpPr>
          <xdr:cNvPr id="6" name="テキスト ボックス 5">
            <a:extLst>
              <a:ext uri="{FF2B5EF4-FFF2-40B4-BE49-F238E27FC236}">
                <a16:creationId xmlns:a16="http://schemas.microsoft.com/office/drawing/2014/main" id="{00000000-0008-0000-0200-00001A000000}"/>
              </a:ext>
            </a:extLst>
          </xdr:cNvPr>
          <xdr:cNvSpPr txBox="1"/>
        </xdr:nvSpPr>
        <xdr:spPr>
          <a:xfrm>
            <a:off x="1052725" y="487952"/>
            <a:ext cx="1171124" cy="331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a:solidFill>
                  <a:sysClr val="windowText" lastClr="000000"/>
                </a:solidFill>
                <a:latin typeface="+mn-lt"/>
                <a:ea typeface="メイリオ" panose="020B0604030504040204" pitchFamily="50" charset="-128"/>
              </a:rPr>
              <a:t>CONTENTS</a:t>
            </a:r>
          </a:p>
        </xdr:txBody>
      </xdr:sp>
      <xdr:sp macro="" textlink="">
        <xdr:nvSpPr>
          <xdr:cNvPr id="7" name="テキスト ボックス 6">
            <a:extLst>
              <a:ext uri="{FF2B5EF4-FFF2-40B4-BE49-F238E27FC236}">
                <a16:creationId xmlns:a16="http://schemas.microsoft.com/office/drawing/2014/main" id="{00000000-0008-0000-0200-00001B000000}"/>
              </a:ext>
            </a:extLst>
          </xdr:cNvPr>
          <xdr:cNvSpPr txBox="1"/>
        </xdr:nvSpPr>
        <xdr:spPr>
          <a:xfrm>
            <a:off x="459227" y="431342"/>
            <a:ext cx="1165028" cy="286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latin typeface="メイリオ" panose="020B0604030504040204" pitchFamily="50" charset="-128"/>
                <a:ea typeface="メイリオ" panose="020B0604030504040204" pitchFamily="50" charset="-128"/>
              </a:rPr>
              <a:t>目次</a:t>
            </a:r>
            <a:endParaRPr kumimoji="1" lang="ja-JP" altLang="en-US" sz="1050" b="1">
              <a:solidFill>
                <a:sysClr val="windowText" lastClr="000000"/>
              </a:solidFill>
              <a:latin typeface="メイリオ" panose="020B0604030504040204" pitchFamily="50" charset="-128"/>
              <a:ea typeface="メイリオ" panose="020B0604030504040204" pitchFamily="50" charset="-128"/>
            </a:endParaRPr>
          </a:p>
        </xdr:txBody>
      </xdr:sp>
    </xdr:grpSp>
    <xdr:clientData/>
  </xdr:twoCellAnchor>
  <xdr:twoCellAnchor>
    <xdr:from>
      <xdr:col>2</xdr:col>
      <xdr:colOff>2166</xdr:colOff>
      <xdr:row>6</xdr:row>
      <xdr:rowOff>71812</xdr:rowOff>
    </xdr:from>
    <xdr:to>
      <xdr:col>6</xdr:col>
      <xdr:colOff>163198</xdr:colOff>
      <xdr:row>9</xdr:row>
      <xdr:rowOff>145710</xdr:rowOff>
    </xdr:to>
    <xdr:grpSp>
      <xdr:nvGrpSpPr>
        <xdr:cNvPr id="8" name="グループ化 7">
          <a:extLst>
            <a:ext uri="{FF2B5EF4-FFF2-40B4-BE49-F238E27FC236}">
              <a16:creationId xmlns:a16="http://schemas.microsoft.com/office/drawing/2014/main" id="{00000000-0008-0000-0200-000050000000}"/>
            </a:ext>
          </a:extLst>
        </xdr:cNvPr>
        <xdr:cNvGrpSpPr/>
      </xdr:nvGrpSpPr>
      <xdr:grpSpPr>
        <a:xfrm>
          <a:off x="599628" y="1426554"/>
          <a:ext cx="3875192" cy="333601"/>
          <a:chOff x="487941" y="1533372"/>
          <a:chExt cx="4132957" cy="359648"/>
        </a:xfrm>
      </xdr:grpSpPr>
      <xdr:sp macro="" textlink="">
        <xdr:nvSpPr>
          <xdr:cNvPr id="9" name="テキスト ボックス 8">
            <a:extLst>
              <a:ext uri="{FF2B5EF4-FFF2-40B4-BE49-F238E27FC236}">
                <a16:creationId xmlns:a16="http://schemas.microsoft.com/office/drawing/2014/main" id="{00000000-0008-0000-0200-000032000000}"/>
              </a:ext>
            </a:extLst>
          </xdr:cNvPr>
          <xdr:cNvSpPr txBox="1"/>
        </xdr:nvSpPr>
        <xdr:spPr>
          <a:xfrm>
            <a:off x="487941" y="1533372"/>
            <a:ext cx="4132957" cy="3596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baseline="0">
                <a:solidFill>
                  <a:sysClr val="windowText" lastClr="000000"/>
                </a:solidFill>
                <a:latin typeface="+mn-lt"/>
                <a:ea typeface="メイリオ" panose="020B0604030504040204" pitchFamily="50" charset="-128"/>
              </a:rPr>
              <a:t>Ⅱ.</a:t>
            </a:r>
            <a:r>
              <a:rPr kumimoji="1" lang="ja-JP" altLang="en-US" sz="900" b="1" baseline="0">
                <a:solidFill>
                  <a:sysClr val="windowText" lastClr="000000"/>
                </a:solidFill>
                <a:latin typeface="+mn-lt"/>
                <a:ea typeface="メイリオ" panose="020B0604030504040204" pitchFamily="50" charset="-128"/>
              </a:rPr>
              <a:t> オートオークションデータ　</a:t>
            </a:r>
            <a:r>
              <a:rPr kumimoji="1" lang="en-US" altLang="ja-JP" sz="800" baseline="0">
                <a:solidFill>
                  <a:sysClr val="windowText" lastClr="000000"/>
                </a:solidFill>
                <a:latin typeface="+mn-lt"/>
                <a:ea typeface="メイリオ" panose="020B0604030504040204" pitchFamily="50" charset="-128"/>
                <a:cs typeface="Calibri" panose="020F0502020204030204" pitchFamily="34" charset="0"/>
              </a:rPr>
              <a:t>Auto Auction Data</a:t>
            </a:r>
            <a:endParaRPr kumimoji="1" lang="ja-JP" altLang="en-US" sz="850" baseline="0">
              <a:solidFill>
                <a:sysClr val="windowText" lastClr="000000"/>
              </a:solidFill>
              <a:latin typeface="+mn-lt"/>
              <a:ea typeface="メイリオ" panose="020B0604030504040204" pitchFamily="50" charset="-128"/>
              <a:cs typeface="Calibri" panose="020F0502020204030204" pitchFamily="34" charset="0"/>
            </a:endParaRPr>
          </a:p>
        </xdr:txBody>
      </xdr:sp>
      <xdr:cxnSp macro="">
        <xdr:nvCxnSpPr>
          <xdr:cNvPr id="10" name="直線コネクタ 9">
            <a:extLst>
              <a:ext uri="{FF2B5EF4-FFF2-40B4-BE49-F238E27FC236}">
                <a16:creationId xmlns:a16="http://schemas.microsoft.com/office/drawing/2014/main" id="{00000000-0008-0000-0200-000033000000}"/>
              </a:ext>
            </a:extLst>
          </xdr:cNvPr>
          <xdr:cNvCxnSpPr/>
        </xdr:nvCxnSpPr>
        <xdr:spPr bwMode="auto">
          <a:xfrm>
            <a:off x="562858" y="1800295"/>
            <a:ext cx="3973398"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6</xdr:col>
      <xdr:colOff>321606</xdr:colOff>
      <xdr:row>3</xdr:row>
      <xdr:rowOff>314773</xdr:rowOff>
    </xdr:from>
    <xdr:to>
      <xdr:col>12</xdr:col>
      <xdr:colOff>149027</xdr:colOff>
      <xdr:row>5</xdr:row>
      <xdr:rowOff>154547</xdr:rowOff>
    </xdr:to>
    <xdr:grpSp>
      <xdr:nvGrpSpPr>
        <xdr:cNvPr id="11" name="グループ化 10">
          <a:extLst>
            <a:ext uri="{FF2B5EF4-FFF2-40B4-BE49-F238E27FC236}">
              <a16:creationId xmlns:a16="http://schemas.microsoft.com/office/drawing/2014/main" id="{00000000-0008-0000-0200-00000A000000}"/>
            </a:ext>
          </a:extLst>
        </xdr:cNvPr>
        <xdr:cNvGrpSpPr/>
      </xdr:nvGrpSpPr>
      <xdr:grpSpPr>
        <a:xfrm>
          <a:off x="4625051" y="1009255"/>
          <a:ext cx="4027357" cy="345611"/>
          <a:chOff x="4789697" y="1089611"/>
          <a:chExt cx="4243557" cy="367978"/>
        </a:xfrm>
      </xdr:grpSpPr>
      <xdr:sp macro="" textlink="">
        <xdr:nvSpPr>
          <xdr:cNvPr id="12" name="テキスト ボックス 11">
            <a:extLst>
              <a:ext uri="{FF2B5EF4-FFF2-40B4-BE49-F238E27FC236}">
                <a16:creationId xmlns:a16="http://schemas.microsoft.com/office/drawing/2014/main" id="{00000000-0008-0000-0200-000035000000}"/>
              </a:ext>
            </a:extLst>
          </xdr:cNvPr>
          <xdr:cNvSpPr txBox="1"/>
        </xdr:nvSpPr>
        <xdr:spPr>
          <a:xfrm>
            <a:off x="4789697" y="1089611"/>
            <a:ext cx="4243557" cy="367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solidFill>
                  <a:sysClr val="windowText" lastClr="000000"/>
                </a:solidFill>
                <a:latin typeface="メイリオ" panose="020B0604030504040204" pitchFamily="50" charset="-128"/>
                <a:ea typeface="メイリオ" panose="020B0604030504040204" pitchFamily="50" charset="-128"/>
              </a:rPr>
              <a:t>Ⅲ.</a:t>
            </a:r>
            <a:r>
              <a:rPr kumimoji="1" lang="ja-JP" altLang="en-US" sz="900" b="1">
                <a:solidFill>
                  <a:sysClr val="windowText" lastClr="000000"/>
                </a:solidFill>
                <a:latin typeface="メイリオ" panose="020B0604030504040204" pitchFamily="50" charset="-128"/>
                <a:ea typeface="メイリオ" panose="020B0604030504040204" pitchFamily="50" charset="-128"/>
              </a:rPr>
              <a:t> 決算データ等</a:t>
            </a:r>
            <a:r>
              <a:rPr kumimoji="1" lang="ja-JP" altLang="en-US" sz="900" b="1" baseline="0">
                <a:solidFill>
                  <a:sysClr val="windowText" lastClr="000000"/>
                </a:solidFill>
                <a:latin typeface="メイリオ" panose="020B0604030504040204" pitchFamily="50" charset="-128"/>
                <a:ea typeface="メイリオ" panose="020B0604030504040204" pitchFamily="50" charset="-128"/>
              </a:rPr>
              <a:t> 　</a:t>
            </a:r>
            <a:r>
              <a:rPr kumimoji="1" lang="en-US" altLang="ja-JP" sz="800" baseline="0">
                <a:solidFill>
                  <a:sysClr val="windowText" lastClr="000000"/>
                </a:solidFill>
                <a:latin typeface="+mn-lt"/>
                <a:ea typeface="メイリオ" panose="020B0604030504040204" pitchFamily="50" charset="-128"/>
              </a:rPr>
              <a:t>Financial Data</a:t>
            </a:r>
            <a:endParaRPr kumimoji="1" lang="ja-JP" altLang="en-US" sz="850" baseline="0">
              <a:solidFill>
                <a:sysClr val="windowText" lastClr="000000"/>
              </a:solidFill>
              <a:latin typeface="+mn-lt"/>
              <a:ea typeface="メイリオ" panose="020B0604030504040204" pitchFamily="50" charset="-128"/>
            </a:endParaRPr>
          </a:p>
        </xdr:txBody>
      </xdr:sp>
      <xdr:cxnSp macro="">
        <xdr:nvCxnSpPr>
          <xdr:cNvPr id="13" name="直線コネクタ 12">
            <a:extLst>
              <a:ext uri="{FF2B5EF4-FFF2-40B4-BE49-F238E27FC236}">
                <a16:creationId xmlns:a16="http://schemas.microsoft.com/office/drawing/2014/main" id="{00000000-0008-0000-0200-000036000000}"/>
              </a:ext>
            </a:extLst>
          </xdr:cNvPr>
          <xdr:cNvCxnSpPr/>
        </xdr:nvCxnSpPr>
        <xdr:spPr bwMode="auto">
          <a:xfrm>
            <a:off x="4870784" y="1354006"/>
            <a:ext cx="3987467"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6</xdr:col>
      <xdr:colOff>333050</xdr:colOff>
      <xdr:row>16</xdr:row>
      <xdr:rowOff>245203</xdr:rowOff>
    </xdr:from>
    <xdr:to>
      <xdr:col>13</xdr:col>
      <xdr:colOff>1059</xdr:colOff>
      <xdr:row>18</xdr:row>
      <xdr:rowOff>167908</xdr:rowOff>
    </xdr:to>
    <xdr:grpSp>
      <xdr:nvGrpSpPr>
        <xdr:cNvPr id="14" name="グループ化 13">
          <a:extLst>
            <a:ext uri="{FF2B5EF4-FFF2-40B4-BE49-F238E27FC236}">
              <a16:creationId xmlns:a16="http://schemas.microsoft.com/office/drawing/2014/main" id="{00000000-0008-0000-0200-000009000000}"/>
            </a:ext>
          </a:extLst>
        </xdr:cNvPr>
        <xdr:cNvGrpSpPr/>
      </xdr:nvGrpSpPr>
      <xdr:grpSpPr>
        <a:xfrm>
          <a:off x="4636411" y="5028102"/>
          <a:ext cx="4292860" cy="422387"/>
          <a:chOff x="4785263" y="5615994"/>
          <a:chExt cx="4585193" cy="417803"/>
        </a:xfrm>
      </xdr:grpSpPr>
      <xdr:sp macro="" textlink="">
        <xdr:nvSpPr>
          <xdr:cNvPr id="15" name="テキスト ボックス 14">
            <a:extLst>
              <a:ext uri="{FF2B5EF4-FFF2-40B4-BE49-F238E27FC236}">
                <a16:creationId xmlns:a16="http://schemas.microsoft.com/office/drawing/2014/main" id="{00000000-0008-0000-0200-000039000000}"/>
              </a:ext>
            </a:extLst>
          </xdr:cNvPr>
          <xdr:cNvSpPr txBox="1"/>
        </xdr:nvSpPr>
        <xdr:spPr>
          <a:xfrm>
            <a:off x="4785263" y="5615994"/>
            <a:ext cx="4585193" cy="417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baseline="0">
                <a:solidFill>
                  <a:sysClr val="windowText" lastClr="000000"/>
                </a:solidFill>
                <a:latin typeface="+mn-lt"/>
                <a:ea typeface="メイリオ" panose="020B0604030504040204" pitchFamily="50" charset="-128"/>
              </a:rPr>
              <a:t>Ⅳ.</a:t>
            </a:r>
            <a:r>
              <a:rPr kumimoji="1" lang="ja-JP" altLang="en-US" sz="900" b="1" baseline="0">
                <a:solidFill>
                  <a:sysClr val="windowText" lastClr="000000"/>
                </a:solidFill>
                <a:latin typeface="+mn-lt"/>
                <a:ea typeface="メイリオ" panose="020B0604030504040204" pitchFamily="50" charset="-128"/>
              </a:rPr>
              <a:t> 計算式　</a:t>
            </a:r>
            <a:r>
              <a:rPr kumimoji="1" lang="en-US" altLang="ja-JP" sz="800" baseline="0">
                <a:solidFill>
                  <a:sysClr val="windowText" lastClr="000000"/>
                </a:solidFill>
                <a:latin typeface="+mn-lt"/>
                <a:ea typeface="メイリオ" panose="020B0604030504040204" pitchFamily="50" charset="-128"/>
              </a:rPr>
              <a:t>Calculating Formulas</a:t>
            </a:r>
            <a:r>
              <a:rPr kumimoji="1" lang="ja-JP" altLang="en-US" sz="800" baseline="0">
                <a:solidFill>
                  <a:sysClr val="windowText" lastClr="000000"/>
                </a:solidFill>
                <a:latin typeface="+mn-lt"/>
                <a:ea typeface="メイリオ" panose="020B0604030504040204" pitchFamily="50" charset="-128"/>
              </a:rPr>
              <a:t> </a:t>
            </a:r>
            <a:r>
              <a:rPr kumimoji="1" lang="en-US" altLang="ja-JP" sz="800" baseline="0">
                <a:solidFill>
                  <a:sysClr val="windowText" lastClr="000000"/>
                </a:solidFill>
                <a:latin typeface="+mn-lt"/>
                <a:ea typeface="メイリオ" panose="020B0604030504040204" pitchFamily="50" charset="-128"/>
              </a:rPr>
              <a:t>.</a:t>
            </a:r>
            <a:r>
              <a:rPr kumimoji="1" lang="en-US" altLang="ja-JP" sz="700" baseline="0">
                <a:solidFill>
                  <a:sysClr val="windowText" lastClr="000000"/>
                </a:solidFill>
                <a:latin typeface="+mn-lt"/>
                <a:ea typeface="メイリオ" panose="020B0604030504040204" pitchFamily="50" charset="-128"/>
              </a:rPr>
              <a:t>………………………………………………….....……23</a:t>
            </a:r>
            <a:endParaRPr kumimoji="1" lang="ja-JP" altLang="en-US" sz="700" baseline="0">
              <a:solidFill>
                <a:sysClr val="windowText" lastClr="000000"/>
              </a:solidFill>
              <a:latin typeface="+mn-lt"/>
              <a:ea typeface="メイリオ" panose="020B0604030504040204" pitchFamily="50" charset="-128"/>
            </a:endParaRPr>
          </a:p>
        </xdr:txBody>
      </xdr:sp>
      <xdr:cxnSp macro="">
        <xdr:nvCxnSpPr>
          <xdr:cNvPr id="16" name="直線コネクタ 15">
            <a:extLst>
              <a:ext uri="{FF2B5EF4-FFF2-40B4-BE49-F238E27FC236}">
                <a16:creationId xmlns:a16="http://schemas.microsoft.com/office/drawing/2014/main" id="{00000000-0008-0000-0200-000021000000}"/>
              </a:ext>
            </a:extLst>
          </xdr:cNvPr>
          <xdr:cNvCxnSpPr/>
        </xdr:nvCxnSpPr>
        <xdr:spPr bwMode="auto">
          <a:xfrm>
            <a:off x="4870784" y="5855139"/>
            <a:ext cx="4078458" cy="962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xdr:col>
      <xdr:colOff>147594</xdr:colOff>
      <xdr:row>10</xdr:row>
      <xdr:rowOff>20655</xdr:rowOff>
    </xdr:from>
    <xdr:to>
      <xdr:col>6</xdr:col>
      <xdr:colOff>363182</xdr:colOff>
      <xdr:row>11</xdr:row>
      <xdr:rowOff>111998</xdr:rowOff>
    </xdr:to>
    <xdr:sp macro="" textlink="">
      <xdr:nvSpPr>
        <xdr:cNvPr id="17" name="テキスト ボックス 16">
          <a:extLst>
            <a:ext uri="{FF2B5EF4-FFF2-40B4-BE49-F238E27FC236}">
              <a16:creationId xmlns:a16="http://schemas.microsoft.com/office/drawing/2014/main" id="{00000000-0008-0000-0200-000015000000}"/>
            </a:ext>
          </a:extLst>
        </xdr:cNvPr>
        <xdr:cNvSpPr txBox="1"/>
      </xdr:nvSpPr>
      <xdr:spPr>
        <a:xfrm>
          <a:off x="776244" y="1925655"/>
          <a:ext cx="4130363" cy="224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a:solidFill>
                <a:sysClr val="windowText" lastClr="000000"/>
              </a:solidFill>
              <a:latin typeface="メイリオ" panose="020B0604030504040204" pitchFamily="50" charset="-128"/>
              <a:ea typeface="メイリオ" panose="020B0604030504040204" pitchFamily="50" charset="-128"/>
            </a:rPr>
            <a:t>1. </a:t>
          </a:r>
          <a:r>
            <a:rPr kumimoji="1" lang="ja-JP" altLang="en-US" sz="800" b="1">
              <a:solidFill>
                <a:sysClr val="windowText" lastClr="000000"/>
              </a:solidFill>
              <a:latin typeface="メイリオ" panose="020B0604030504040204" pitchFamily="50" charset="-128"/>
              <a:ea typeface="メイリオ" panose="020B0604030504040204" pitchFamily="50" charset="-128"/>
            </a:rPr>
            <a:t>業界データ　</a:t>
          </a:r>
          <a:r>
            <a:rPr kumimoji="1" lang="en-US" altLang="ja-JP" sz="700">
              <a:solidFill>
                <a:sysClr val="windowText" lastClr="000000"/>
              </a:solidFill>
              <a:latin typeface="+mn-lt"/>
              <a:ea typeface="メイリオ" panose="020B0604030504040204" pitchFamily="50" charset="-128"/>
              <a:cs typeface="Arial" panose="020B0604020202020204" pitchFamily="34" charset="0"/>
            </a:rPr>
            <a:t>Industry Data</a:t>
          </a:r>
          <a:endParaRPr kumimoji="1" lang="ja-JP" altLang="en-US" sz="750">
            <a:solidFill>
              <a:sysClr val="windowText" lastClr="000000"/>
            </a:solidFill>
            <a:latin typeface="+mn-lt"/>
            <a:ea typeface="メイリオ" panose="020B0604030504040204" pitchFamily="50" charset="-128"/>
            <a:cs typeface="Arial" panose="020B0604020202020204" pitchFamily="34" charset="0"/>
          </a:endParaRPr>
        </a:p>
      </xdr:txBody>
    </xdr:sp>
    <xdr:clientData/>
  </xdr:twoCellAnchor>
  <xdr:twoCellAnchor>
    <xdr:from>
      <xdr:col>2</xdr:col>
      <xdr:colOff>137200</xdr:colOff>
      <xdr:row>13</xdr:row>
      <xdr:rowOff>21440</xdr:rowOff>
    </xdr:from>
    <xdr:to>
      <xdr:col>6</xdr:col>
      <xdr:colOff>352788</xdr:colOff>
      <xdr:row>15</xdr:row>
      <xdr:rowOff>206282</xdr:rowOff>
    </xdr:to>
    <xdr:sp macro="" textlink="">
      <xdr:nvSpPr>
        <xdr:cNvPr id="18" name="テキスト ボックス 17">
          <a:extLst>
            <a:ext uri="{FF2B5EF4-FFF2-40B4-BE49-F238E27FC236}">
              <a16:creationId xmlns:a16="http://schemas.microsoft.com/office/drawing/2014/main" id="{00000000-0008-0000-0200-000017000000}"/>
            </a:ext>
          </a:extLst>
        </xdr:cNvPr>
        <xdr:cNvSpPr txBox="1"/>
      </xdr:nvSpPr>
      <xdr:spPr>
        <a:xfrm>
          <a:off x="765850" y="4212440"/>
          <a:ext cx="4130363" cy="232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baseline="0">
              <a:solidFill>
                <a:sysClr val="windowText" lastClr="000000"/>
              </a:solidFill>
              <a:latin typeface="+mn-lt"/>
              <a:ea typeface="メイリオ" panose="020B0604030504040204" pitchFamily="50" charset="-128"/>
            </a:rPr>
            <a:t>2. USS</a:t>
          </a:r>
          <a:r>
            <a:rPr kumimoji="1" lang="ja-JP" altLang="en-US" sz="800" b="1" baseline="0">
              <a:solidFill>
                <a:sysClr val="windowText" lastClr="000000"/>
              </a:solidFill>
              <a:latin typeface="+mn-lt"/>
              <a:ea typeface="メイリオ" panose="020B0604030504040204" pitchFamily="50" charset="-128"/>
            </a:rPr>
            <a:t>データ </a:t>
          </a:r>
          <a:r>
            <a:rPr kumimoji="1" lang="ja-JP" altLang="en-US" sz="700" b="0" baseline="0">
              <a:solidFill>
                <a:sysClr val="windowText" lastClr="000000"/>
              </a:solidFill>
              <a:latin typeface="+mn-lt"/>
              <a:ea typeface="メイリオ" panose="020B0604030504040204" pitchFamily="50" charset="-128"/>
            </a:rPr>
            <a:t>　</a:t>
          </a:r>
          <a:r>
            <a:rPr kumimoji="1" lang="en-US" altLang="ja-JP" sz="700" baseline="0">
              <a:solidFill>
                <a:sysClr val="windowText" lastClr="000000"/>
              </a:solidFill>
              <a:latin typeface="+mn-lt"/>
              <a:ea typeface="メイリオ" panose="020B0604030504040204" pitchFamily="50" charset="-128"/>
            </a:rPr>
            <a:t>USS Data</a:t>
          </a:r>
          <a:endParaRPr kumimoji="1" lang="ja-JP" altLang="en-US" sz="750" baseline="0">
            <a:solidFill>
              <a:sysClr val="windowText" lastClr="000000"/>
            </a:solidFill>
            <a:latin typeface="+mn-lt"/>
            <a:ea typeface="メイリオ" panose="020B0604030504040204" pitchFamily="50" charset="-128"/>
          </a:endParaRPr>
        </a:p>
      </xdr:txBody>
    </xdr:sp>
    <xdr:clientData/>
  </xdr:twoCellAnchor>
  <xdr:twoCellAnchor>
    <xdr:from>
      <xdr:col>7</xdr:col>
      <xdr:colOff>132213</xdr:colOff>
      <xdr:row>5</xdr:row>
      <xdr:rowOff>148942</xdr:rowOff>
    </xdr:from>
    <xdr:to>
      <xdr:col>12</xdr:col>
      <xdr:colOff>174169</xdr:colOff>
      <xdr:row>8</xdr:row>
      <xdr:rowOff>8897</xdr:rowOff>
    </xdr:to>
    <xdr:sp macro="" textlink="">
      <xdr:nvSpPr>
        <xdr:cNvPr id="19" name="テキスト ボックス 18">
          <a:extLst>
            <a:ext uri="{FF2B5EF4-FFF2-40B4-BE49-F238E27FC236}">
              <a16:creationId xmlns:a16="http://schemas.microsoft.com/office/drawing/2014/main" id="{00000000-0008-0000-0200-000018000000}"/>
            </a:ext>
          </a:extLst>
        </xdr:cNvPr>
        <xdr:cNvSpPr txBox="1"/>
      </xdr:nvSpPr>
      <xdr:spPr>
        <a:xfrm>
          <a:off x="5047113" y="1453867"/>
          <a:ext cx="4080556" cy="221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baseline="0">
              <a:solidFill>
                <a:sysClr val="windowText" lastClr="000000"/>
              </a:solidFill>
              <a:latin typeface="+mn-lt"/>
              <a:ea typeface="メイリオ" panose="020B0604030504040204" pitchFamily="50" charset="-128"/>
            </a:rPr>
            <a:t>1. </a:t>
          </a:r>
          <a:r>
            <a:rPr kumimoji="1" lang="ja-JP" altLang="en-US" sz="800" b="1" baseline="0">
              <a:solidFill>
                <a:sysClr val="windowText" lastClr="000000"/>
              </a:solidFill>
              <a:latin typeface="+mn-lt"/>
              <a:ea typeface="メイリオ" panose="020B0604030504040204" pitchFamily="50" charset="-128"/>
            </a:rPr>
            <a:t>セグメント　</a:t>
          </a:r>
          <a:r>
            <a:rPr kumimoji="1" lang="en-US" altLang="ja-JP" sz="700" baseline="0">
              <a:solidFill>
                <a:sysClr val="windowText" lastClr="000000"/>
              </a:solidFill>
              <a:latin typeface="+mn-lt"/>
              <a:ea typeface="メイリオ" panose="020B0604030504040204" pitchFamily="50" charset="-128"/>
            </a:rPr>
            <a:t>Segment Information</a:t>
          </a:r>
          <a:endParaRPr kumimoji="1" lang="ja-JP" altLang="en-US" sz="750" baseline="0">
            <a:solidFill>
              <a:sysClr val="windowText" lastClr="000000"/>
            </a:solidFill>
            <a:latin typeface="+mn-lt"/>
            <a:ea typeface="メイリオ" panose="020B0604030504040204" pitchFamily="50" charset="-128"/>
          </a:endParaRPr>
        </a:p>
      </xdr:txBody>
    </xdr:sp>
    <xdr:clientData/>
  </xdr:twoCellAnchor>
  <xdr:twoCellAnchor>
    <xdr:from>
      <xdr:col>7</xdr:col>
      <xdr:colOff>129185</xdr:colOff>
      <xdr:row>11</xdr:row>
      <xdr:rowOff>1918824</xdr:rowOff>
    </xdr:from>
    <xdr:to>
      <xdr:col>12</xdr:col>
      <xdr:colOff>171141</xdr:colOff>
      <xdr:row>12</xdr:row>
      <xdr:rowOff>205153</xdr:rowOff>
    </xdr:to>
    <xdr:sp macro="" textlink="">
      <xdr:nvSpPr>
        <xdr:cNvPr id="20" name="テキスト ボックス 19">
          <a:extLst>
            <a:ext uri="{FF2B5EF4-FFF2-40B4-BE49-F238E27FC236}">
              <a16:creationId xmlns:a16="http://schemas.microsoft.com/office/drawing/2014/main" id="{00000000-0008-0000-0200-000019000000}"/>
            </a:ext>
          </a:extLst>
        </xdr:cNvPr>
        <xdr:cNvSpPr txBox="1"/>
      </xdr:nvSpPr>
      <xdr:spPr>
        <a:xfrm>
          <a:off x="5045550" y="3955709"/>
          <a:ext cx="4086418" cy="227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1" baseline="0">
              <a:solidFill>
                <a:sysClr val="windowText" lastClr="000000"/>
              </a:solidFill>
              <a:latin typeface="+mn-lt"/>
              <a:ea typeface="メイリオ" panose="020B0604030504040204" pitchFamily="50" charset="-128"/>
            </a:rPr>
            <a:t>2. </a:t>
          </a:r>
          <a:r>
            <a:rPr kumimoji="1" lang="ja-JP" altLang="en-US" sz="800" b="1" baseline="0">
              <a:solidFill>
                <a:sysClr val="windowText" lastClr="000000"/>
              </a:solidFill>
              <a:latin typeface="+mn-lt"/>
              <a:ea typeface="メイリオ" panose="020B0604030504040204" pitchFamily="50" charset="-128"/>
            </a:rPr>
            <a:t>連結　</a:t>
          </a:r>
          <a:r>
            <a:rPr kumimoji="1" lang="en-US" altLang="ja-JP" sz="700" baseline="0">
              <a:solidFill>
                <a:sysClr val="windowText" lastClr="000000"/>
              </a:solidFill>
              <a:latin typeface="+mn-lt"/>
              <a:ea typeface="メイリオ" panose="020B0604030504040204" pitchFamily="50" charset="-128"/>
            </a:rPr>
            <a:t>Consolidated Basis</a:t>
          </a:r>
          <a:endParaRPr kumimoji="1" lang="ja-JP" altLang="en-US" sz="750" baseline="0">
            <a:solidFill>
              <a:sysClr val="windowText" lastClr="000000"/>
            </a:solidFill>
            <a:latin typeface="+mn-lt"/>
            <a:ea typeface="メイリオ" panose="020B0604030504040204" pitchFamily="50" charset="-128"/>
          </a:endParaRPr>
        </a:p>
      </xdr:txBody>
    </xdr:sp>
    <xdr:clientData/>
  </xdr:twoCellAnchor>
  <xdr:twoCellAnchor>
    <xdr:from>
      <xdr:col>3</xdr:col>
      <xdr:colOff>54774</xdr:colOff>
      <xdr:row>15</xdr:row>
      <xdr:rowOff>181682</xdr:rowOff>
    </xdr:from>
    <xdr:to>
      <xdr:col>6</xdr:col>
      <xdr:colOff>314325</xdr:colOff>
      <xdr:row>15</xdr:row>
      <xdr:rowOff>839109</xdr:rowOff>
    </xdr:to>
    <xdr:sp macro="" textlink="">
      <xdr:nvSpPr>
        <xdr:cNvPr id="21" name="テキスト ボックス 20">
          <a:extLst>
            <a:ext uri="{FF2B5EF4-FFF2-40B4-BE49-F238E27FC236}">
              <a16:creationId xmlns:a16="http://schemas.microsoft.com/office/drawing/2014/main" id="{00000000-0008-0000-0200-00003F000000}"/>
            </a:ext>
          </a:extLst>
        </xdr:cNvPr>
        <xdr:cNvSpPr txBox="1"/>
      </xdr:nvSpPr>
      <xdr:spPr>
        <a:xfrm>
          <a:off x="873924" y="4420307"/>
          <a:ext cx="3983826" cy="657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1</a:t>
          </a: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USS</a:t>
          </a:r>
          <a:r>
            <a:rPr kumimoji="1" lang="ja-JP" altLang="en-US" sz="700" b="0" baseline="0">
              <a:solidFill>
                <a:sysClr val="windowText" lastClr="000000"/>
              </a:solidFill>
              <a:latin typeface="+mn-lt"/>
              <a:ea typeface="メイリオ" panose="020B0604030504040204" pitchFamily="50" charset="-128"/>
            </a:rPr>
            <a:t>会場別オートオークション実績（年度）</a:t>
          </a:r>
          <a:r>
            <a:rPr kumimoji="1" lang="en-US" altLang="ja-JP" sz="700" b="0" baseline="0">
              <a:solidFill>
                <a:sysClr val="windowText" lastClr="000000"/>
              </a:solidFill>
              <a:latin typeface="+mn-lt"/>
              <a:ea typeface="メイリオ" panose="020B0604030504040204" pitchFamily="50" charset="-128"/>
            </a:rPr>
            <a:t>………………………………………</a:t>
          </a:r>
          <a:r>
            <a:rPr kumimoji="1" lang="ja-JP" altLang="en-US" sz="700" b="0" baseline="0">
              <a:solidFill>
                <a:sysClr val="windowText" lastClr="000000"/>
              </a:solidFill>
              <a:latin typeface="+mn-lt"/>
              <a:ea typeface="メイリオ" panose="020B0604030504040204" pitchFamily="50" charset="-128"/>
            </a:rPr>
            <a:t> </a:t>
          </a:r>
          <a:r>
            <a:rPr kumimoji="1" lang="en-US" altLang="ja-JP" sz="700" b="0" baseline="0">
              <a:solidFill>
                <a:sysClr val="windowText" lastClr="000000"/>
              </a:solidFill>
              <a:latin typeface="+mn-lt"/>
              <a:ea typeface="メイリオ" panose="020B0604030504040204" pitchFamily="50" charset="-128"/>
            </a:rPr>
            <a:t>9 </a:t>
          </a:r>
        </a:p>
        <a:p>
          <a:pPr>
            <a:lnSpc>
              <a:spcPts val="800"/>
            </a:lnSpc>
          </a:pPr>
          <a:r>
            <a:rPr kumimoji="1" lang="ja-JP" altLang="en-US" sz="600" b="0" baseline="0">
              <a:solidFill>
                <a:sysClr val="windowText" lastClr="000000"/>
              </a:solidFill>
              <a:latin typeface="+mn-lt"/>
              <a:ea typeface="メイリオ" panose="020B0604030504040204" pitchFamily="50" charset="-128"/>
            </a:rPr>
            <a:t>           </a:t>
          </a:r>
          <a:r>
            <a:rPr kumimoji="1" lang="en-US" altLang="ja-JP" sz="600" b="0" baseline="0">
              <a:solidFill>
                <a:sysClr val="windowText" lastClr="000000"/>
              </a:solidFill>
              <a:latin typeface="+mn-lt"/>
              <a:ea typeface="メイリオ" panose="020B0604030504040204" pitchFamily="50" charset="-128"/>
            </a:rPr>
            <a:t>Auto Auction Results at USS Auction Sites (Fiscal Year)</a:t>
          </a:r>
        </a:p>
        <a:p>
          <a:pPr>
            <a:lnSpc>
              <a:spcPts val="1200"/>
            </a:lnSpc>
          </a:pP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2</a:t>
          </a: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USS</a:t>
          </a:r>
          <a:r>
            <a:rPr kumimoji="1" lang="ja-JP" altLang="en-US" sz="700" b="0" baseline="0">
              <a:solidFill>
                <a:sysClr val="windowText" lastClr="000000"/>
              </a:solidFill>
              <a:latin typeface="+mn-lt"/>
              <a:ea typeface="メイリオ" panose="020B0604030504040204" pitchFamily="50" charset="-128"/>
            </a:rPr>
            <a:t>オートオークション月次推移（年度）</a:t>
          </a:r>
          <a:r>
            <a:rPr kumimoji="1" lang="en-US" altLang="ja-JP" sz="700" b="0" baseline="0">
              <a:solidFill>
                <a:sysClr val="windowText" lastClr="000000"/>
              </a:solidFill>
              <a:latin typeface="+mn-lt"/>
              <a:ea typeface="メイリオ" panose="020B0604030504040204" pitchFamily="50" charset="-128"/>
            </a:rPr>
            <a:t>……………………………………...…</a:t>
          </a:r>
          <a:r>
            <a:rPr kumimoji="1" lang="en-US" altLang="ja-JP" sz="700" b="0" i="0" u="none" strike="noStrike" kern="0" cap="none" spc="0" normalizeH="0" baseline="0" noProof="0">
              <a:ln>
                <a:noFill/>
              </a:ln>
              <a:solidFill>
                <a:sysClr val="windowText" lastClr="000000"/>
              </a:solidFill>
              <a:effectLst/>
              <a:uLnTx/>
              <a:uFillTx/>
              <a:latin typeface="+mn-lt"/>
              <a:ea typeface="メイリオ" panose="020B0604030504040204" pitchFamily="50" charset="-128"/>
              <a:cs typeface="+mn-cs"/>
            </a:rPr>
            <a:t>10 </a:t>
          </a:r>
          <a:endParaRPr kumimoji="1" lang="en-US" altLang="ja-JP" sz="700" b="0" baseline="0">
            <a:solidFill>
              <a:sysClr val="windowText" lastClr="000000"/>
            </a:solidFill>
            <a:latin typeface="+mn-lt"/>
            <a:ea typeface="メイリオ" panose="020B0604030504040204" pitchFamily="50" charset="-128"/>
          </a:endParaRPr>
        </a:p>
        <a:p>
          <a:pPr>
            <a:lnSpc>
              <a:spcPts val="800"/>
            </a:lnSpc>
          </a:pPr>
          <a:r>
            <a:rPr kumimoji="1" lang="ja-JP" altLang="en-US" sz="600" b="0" baseline="0">
              <a:solidFill>
                <a:sysClr val="windowText" lastClr="000000"/>
              </a:solidFill>
              <a:latin typeface="+mn-lt"/>
              <a:ea typeface="メイリオ" panose="020B0604030504040204" pitchFamily="50" charset="-128"/>
            </a:rPr>
            <a:t>           </a:t>
          </a:r>
          <a:r>
            <a:rPr kumimoji="1" lang="en-US" altLang="ja-JP" sz="600" b="0" baseline="0">
              <a:solidFill>
                <a:sysClr val="windowText" lastClr="000000"/>
              </a:solidFill>
              <a:latin typeface="+mn-lt"/>
              <a:ea typeface="メイリオ" panose="020B0604030504040204" pitchFamily="50" charset="-128"/>
            </a:rPr>
            <a:t>Monthly USS Auto Auction Results (Fiscal Year)</a:t>
          </a:r>
          <a:endParaRPr kumimoji="1" lang="ja-JP" altLang="en-US" sz="600" b="0" baseline="0">
            <a:solidFill>
              <a:sysClr val="windowText" lastClr="000000"/>
            </a:solidFill>
            <a:latin typeface="+mn-lt"/>
            <a:ea typeface="メイリオ" panose="020B0604030504040204" pitchFamily="50" charset="-128"/>
          </a:endParaRPr>
        </a:p>
      </xdr:txBody>
    </xdr:sp>
    <xdr:clientData/>
  </xdr:twoCellAnchor>
  <xdr:twoCellAnchor>
    <xdr:from>
      <xdr:col>8</xdr:col>
      <xdr:colOff>48536</xdr:colOff>
      <xdr:row>8</xdr:row>
      <xdr:rowOff>1022</xdr:rowOff>
    </xdr:from>
    <xdr:to>
      <xdr:col>12</xdr:col>
      <xdr:colOff>236538</xdr:colOff>
      <xdr:row>12</xdr:row>
      <xdr:rowOff>86591</xdr:rowOff>
    </xdr:to>
    <xdr:sp macro="" textlink="">
      <xdr:nvSpPr>
        <xdr:cNvPr id="22" name="テキスト ボックス 21">
          <a:extLst>
            <a:ext uri="{FF2B5EF4-FFF2-40B4-BE49-F238E27FC236}">
              <a16:creationId xmlns:a16="http://schemas.microsoft.com/office/drawing/2014/main" id="{00000000-0008-0000-0200-000040000000}"/>
            </a:ext>
          </a:extLst>
        </xdr:cNvPr>
        <xdr:cNvSpPr txBox="1"/>
      </xdr:nvSpPr>
      <xdr:spPr>
        <a:xfrm>
          <a:off x="5153936" y="1667897"/>
          <a:ext cx="4036102" cy="2400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1</a:t>
          </a:r>
          <a:r>
            <a:rPr kumimoji="1" lang="ja-JP" altLang="en-US" sz="700" b="0" baseline="0">
              <a:solidFill>
                <a:sysClr val="windowText" lastClr="000000"/>
              </a:solidFill>
              <a:latin typeface="+mn-lt"/>
              <a:ea typeface="メイリオ" panose="020B0604030504040204" pitchFamily="50" charset="-128"/>
            </a:rPr>
            <a:t>）事業の種類別セグメントの状況 </a:t>
          </a:r>
          <a:r>
            <a:rPr kumimoji="1" lang="en-US" altLang="ja-JP" sz="700" b="0" baseline="0">
              <a:solidFill>
                <a:sysClr val="windowText" lastClr="000000"/>
              </a:solidFill>
              <a:latin typeface="+mn-lt"/>
              <a:ea typeface="メイリオ" panose="020B0604030504040204" pitchFamily="50" charset="-128"/>
            </a:rPr>
            <a:t>………………………………………………………11  </a:t>
          </a:r>
        </a:p>
        <a:p>
          <a:pPr>
            <a:lnSpc>
              <a:spcPts val="800"/>
            </a:lnSpc>
          </a:pPr>
          <a:r>
            <a:rPr kumimoji="1" lang="en-US" altLang="ja-JP" sz="600" b="0" baseline="0">
              <a:solidFill>
                <a:sysClr val="windowText" lastClr="000000"/>
              </a:solidFill>
              <a:latin typeface="+mn-lt"/>
              <a:ea typeface="メイリオ" panose="020B0604030504040204" pitchFamily="50" charset="-128"/>
            </a:rPr>
            <a:t>           Segment Information by Business Category</a:t>
          </a:r>
        </a:p>
        <a:p>
          <a:pPr>
            <a:lnSpc>
              <a:spcPts val="1200"/>
            </a:lnSpc>
          </a:pP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2</a:t>
          </a:r>
          <a:r>
            <a:rPr kumimoji="1" lang="ja-JP" altLang="en-US" sz="700" b="0" baseline="0">
              <a:solidFill>
                <a:sysClr val="windowText" lastClr="000000"/>
              </a:solidFill>
              <a:latin typeface="+mn-lt"/>
              <a:ea typeface="メイリオ" panose="020B0604030504040204" pitchFamily="50" charset="-128"/>
            </a:rPr>
            <a:t>）オートオークション － セグメント売上推移  </a:t>
          </a:r>
          <a:r>
            <a:rPr kumimoji="1" lang="en-US" altLang="ja-JP" sz="700" b="0" baseline="0">
              <a:solidFill>
                <a:sysClr val="windowText" lastClr="000000"/>
              </a:solidFill>
              <a:latin typeface="+mn-lt"/>
              <a:ea typeface="メイリオ" panose="020B0604030504040204" pitchFamily="50" charset="-128"/>
            </a:rPr>
            <a:t>…………………………….…………12</a:t>
          </a:r>
        </a:p>
        <a:p>
          <a:pPr>
            <a:lnSpc>
              <a:spcPts val="800"/>
            </a:lnSpc>
          </a:pPr>
          <a:r>
            <a:rPr kumimoji="1" lang="ja-JP" altLang="en-US" sz="600" b="0" baseline="0">
              <a:solidFill>
                <a:sysClr val="windowText" lastClr="000000"/>
              </a:solidFill>
              <a:latin typeface="+mn-lt"/>
              <a:ea typeface="メイリオ" panose="020B0604030504040204" pitchFamily="50" charset="-128"/>
            </a:rPr>
            <a:t>       　</a:t>
          </a:r>
          <a:r>
            <a:rPr kumimoji="1" lang="en-US" altLang="ja-JP" sz="600" b="0" baseline="0">
              <a:solidFill>
                <a:sysClr val="windowText" lastClr="000000"/>
              </a:solidFill>
              <a:latin typeface="+mn-lt"/>
              <a:ea typeface="メイリオ" panose="020B0604030504040204" pitchFamily="50" charset="-128"/>
            </a:rPr>
            <a:t>Auto Auction Business - Net Sales and Operating Margin</a:t>
          </a:r>
        </a:p>
        <a:p>
          <a:pPr>
            <a:lnSpc>
              <a:spcPts val="1200"/>
            </a:lnSpc>
          </a:pP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3</a:t>
          </a:r>
          <a:r>
            <a:rPr kumimoji="1" lang="ja-JP" altLang="en-US" sz="700" b="0" baseline="0">
              <a:solidFill>
                <a:sysClr val="windowText" lastClr="000000"/>
              </a:solidFill>
              <a:latin typeface="+mn-lt"/>
              <a:ea typeface="メイリオ" panose="020B0604030504040204" pitchFamily="50" charset="-128"/>
            </a:rPr>
            <a:t>）オートオークション － 売上内訳推移  </a:t>
          </a:r>
          <a:r>
            <a:rPr kumimoji="1" lang="en-US" altLang="ja-JP" sz="700" b="0" baseline="0">
              <a:solidFill>
                <a:sysClr val="windowText" lastClr="000000"/>
              </a:solidFill>
              <a:latin typeface="+mn-lt"/>
              <a:ea typeface="メイリオ" panose="020B0604030504040204" pitchFamily="50" charset="-128"/>
            </a:rPr>
            <a:t>…………………………………….…………13 </a:t>
          </a:r>
        </a:p>
        <a:p>
          <a:pPr>
            <a:lnSpc>
              <a:spcPts val="800"/>
            </a:lnSpc>
          </a:pPr>
          <a:r>
            <a:rPr kumimoji="1" lang="en-US" altLang="ja-JP" sz="600" b="0" baseline="0">
              <a:solidFill>
                <a:sysClr val="windowText" lastClr="000000"/>
              </a:solidFill>
              <a:latin typeface="+mn-lt"/>
              <a:ea typeface="メイリオ" panose="020B0604030504040204" pitchFamily="50" charset="-128"/>
            </a:rPr>
            <a:t>           Auto Auction Business - Sales Composition</a:t>
          </a:r>
        </a:p>
        <a:p>
          <a:pPr>
            <a:lnSpc>
              <a:spcPts val="1200"/>
            </a:lnSpc>
          </a:pP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4</a:t>
          </a:r>
          <a:r>
            <a:rPr kumimoji="1" lang="ja-JP" altLang="en-US" sz="700" b="0" baseline="0">
              <a:solidFill>
                <a:sysClr val="windowText" lastClr="000000"/>
              </a:solidFill>
              <a:latin typeface="+mn-lt"/>
              <a:ea typeface="メイリオ" panose="020B0604030504040204" pitchFamily="50" charset="-128"/>
            </a:rPr>
            <a:t>）オートオークション － 低額車推移（</a:t>
          </a:r>
          <a:r>
            <a:rPr kumimoji="1" lang="en-US" altLang="ja-JP" sz="700" b="0" baseline="0">
              <a:solidFill>
                <a:sysClr val="windowText" lastClr="000000"/>
              </a:solidFill>
              <a:latin typeface="+mn-lt"/>
              <a:ea typeface="メイリオ" panose="020B0604030504040204" pitchFamily="50" charset="-128"/>
            </a:rPr>
            <a:t>JBA</a:t>
          </a:r>
          <a:r>
            <a:rPr kumimoji="1" lang="ja-JP" altLang="en-US" sz="700" b="0" baseline="0">
              <a:solidFill>
                <a:sysClr val="windowText" lastClr="000000"/>
              </a:solidFill>
              <a:latin typeface="+mn-lt"/>
              <a:ea typeface="メイリオ" panose="020B0604030504040204" pitchFamily="50" charset="-128"/>
            </a:rPr>
            <a:t>除く）</a:t>
          </a:r>
          <a:r>
            <a:rPr kumimoji="1" lang="en-US" altLang="ja-JP" sz="700" b="0" baseline="0">
              <a:solidFill>
                <a:sysClr val="windowText" lastClr="000000"/>
              </a:solidFill>
              <a:latin typeface="+mn-lt"/>
              <a:ea typeface="メイリオ" panose="020B0604030504040204" pitchFamily="50" charset="-128"/>
            </a:rPr>
            <a:t>……………………………………14</a:t>
          </a:r>
          <a:endParaRPr kumimoji="1" lang="en-US" altLang="ja-JP" sz="700" b="0" i="0" u="none" strike="noStrike" kern="0" cap="none" spc="0" normalizeH="0" baseline="0" noProof="0">
            <a:ln>
              <a:noFill/>
            </a:ln>
            <a:solidFill>
              <a:sysClr val="windowText" lastClr="000000"/>
            </a:solidFill>
            <a:effectLst/>
            <a:uLnTx/>
            <a:uFillTx/>
            <a:latin typeface="+mn-lt"/>
            <a:ea typeface="メイリオ" panose="020B0604030504040204" pitchFamily="50" charset="-128"/>
            <a:cs typeface="+mn-cs"/>
          </a:endParaRPr>
        </a:p>
        <a:p>
          <a:pPr marL="0" marR="0" lvl="0" indent="0" defTabSz="914400" eaLnBrk="1" fontAlgn="auto" latinLnBrk="0" hangingPunct="1">
            <a:lnSpc>
              <a:spcPts val="800"/>
            </a:lnSpc>
            <a:spcBef>
              <a:spcPts val="0"/>
            </a:spcBef>
            <a:spcAft>
              <a:spcPts val="0"/>
            </a:spcAft>
            <a:buClrTx/>
            <a:buSzTx/>
            <a:buFontTx/>
            <a:buNone/>
            <a:tabLst/>
            <a:defRPr/>
          </a:pPr>
          <a:r>
            <a:rPr kumimoji="1" lang="en-US" altLang="ja-JP" sz="600" b="0" i="0" u="none" strike="noStrike" kern="0" cap="none" spc="0" normalizeH="0" baseline="0" noProof="0">
              <a:ln>
                <a:noFill/>
              </a:ln>
              <a:solidFill>
                <a:sysClr val="windowText" lastClr="000000"/>
              </a:solidFill>
              <a:effectLst/>
              <a:uLnTx/>
              <a:uFillTx/>
              <a:latin typeface="+mn-lt"/>
              <a:ea typeface="メイリオ" panose="020B0604030504040204" pitchFamily="50" charset="-128"/>
              <a:cs typeface="+mn-cs"/>
            </a:rPr>
            <a:t>           Auto Auction Business - Lower-priced vehicles Auction (excl. JBA)</a:t>
          </a: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5</a:t>
          </a:r>
          <a:r>
            <a:rPr kumimoji="1" lang="ja-JP" altLang="en-US" sz="700" b="0" baseline="0">
              <a:solidFill>
                <a:sysClr val="windowText" lastClr="000000"/>
              </a:solidFill>
              <a:latin typeface="+mn-lt"/>
              <a:ea typeface="メイリオ" panose="020B0604030504040204" pitchFamily="50" charset="-128"/>
            </a:rPr>
            <a:t>）オートオークション － 会員数および外部落札情報（</a:t>
          </a:r>
          <a:r>
            <a:rPr kumimoji="1" lang="en-US" altLang="ja-JP" sz="700" b="0" baseline="0">
              <a:solidFill>
                <a:sysClr val="windowText" lastClr="000000"/>
              </a:solidFill>
              <a:latin typeface="+mn-lt"/>
              <a:ea typeface="メイリオ" panose="020B0604030504040204" pitchFamily="50" charset="-128"/>
            </a:rPr>
            <a:t>JBA</a:t>
          </a:r>
          <a:r>
            <a:rPr kumimoji="1" lang="ja-JP" altLang="en-US" sz="700" b="0" baseline="0">
              <a:solidFill>
                <a:sysClr val="windowText" lastClr="000000"/>
              </a:solidFill>
              <a:latin typeface="+mn-lt"/>
              <a:ea typeface="メイリオ" panose="020B0604030504040204" pitchFamily="50" charset="-128"/>
            </a:rPr>
            <a:t>除く）</a:t>
          </a:r>
          <a:r>
            <a:rPr kumimoji="1" lang="en-US" altLang="ja-JP" sz="700" b="0" baseline="0">
              <a:solidFill>
                <a:sysClr val="windowText" lastClr="000000"/>
              </a:solidFill>
              <a:latin typeface="+mn-lt"/>
              <a:ea typeface="メイリオ" panose="020B0604030504040204" pitchFamily="50" charset="-128"/>
            </a:rPr>
            <a:t>…………………15</a:t>
          </a:r>
        </a:p>
        <a:p>
          <a:pPr>
            <a:lnSpc>
              <a:spcPts val="800"/>
            </a:lnSpc>
          </a:pPr>
          <a:r>
            <a:rPr kumimoji="1" lang="en-US" altLang="ja-JP" sz="600" b="0" baseline="0">
              <a:solidFill>
                <a:sysClr val="windowText" lastClr="000000"/>
              </a:solidFill>
              <a:latin typeface="+mn-lt"/>
              <a:ea typeface="メイリオ" panose="020B0604030504040204" pitchFamily="50" charset="-128"/>
            </a:rPr>
            <a:t>           Auto Auction Business - Members and Successful Off-site Bids (excl. JBA)</a:t>
          </a:r>
        </a:p>
        <a:p>
          <a:pPr>
            <a:lnSpc>
              <a:spcPts val="1200"/>
            </a:lnSpc>
          </a:pP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6</a:t>
          </a:r>
          <a:r>
            <a:rPr kumimoji="1" lang="ja-JP" altLang="en-US" sz="700" b="0" baseline="0">
              <a:solidFill>
                <a:sysClr val="windowText" lastClr="000000"/>
              </a:solidFill>
              <a:latin typeface="+mn-lt"/>
              <a:ea typeface="メイリオ" panose="020B0604030504040204" pitchFamily="50" charset="-128"/>
            </a:rPr>
            <a:t>）オートオークション － バイクオークション実績推移  </a:t>
          </a:r>
          <a:r>
            <a:rPr kumimoji="1" lang="en-US" altLang="ja-JP" sz="700" b="0" baseline="0">
              <a:solidFill>
                <a:sysClr val="windowText" lastClr="000000"/>
              </a:solidFill>
              <a:latin typeface="+mn-lt"/>
              <a:ea typeface="メイリオ" panose="020B0604030504040204" pitchFamily="50" charset="-128"/>
            </a:rPr>
            <a:t>………………….…………16</a:t>
          </a:r>
        </a:p>
        <a:p>
          <a:pPr>
            <a:lnSpc>
              <a:spcPts val="800"/>
            </a:lnSpc>
          </a:pPr>
          <a:r>
            <a:rPr kumimoji="1" lang="en-US" altLang="ja-JP" sz="600" b="0" baseline="0">
              <a:solidFill>
                <a:sysClr val="windowText" lastClr="000000"/>
              </a:solidFill>
              <a:latin typeface="+mn-lt"/>
              <a:ea typeface="メイリオ" panose="020B0604030504040204" pitchFamily="50" charset="-128"/>
            </a:rPr>
            <a:t>           Auto Auction Business - Motorcycle Auction Results</a:t>
          </a:r>
        </a:p>
        <a:p>
          <a:pPr>
            <a:lnSpc>
              <a:spcPts val="1200"/>
            </a:lnSpc>
          </a:pP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7</a:t>
          </a:r>
          <a:r>
            <a:rPr kumimoji="1" lang="ja-JP" altLang="en-US" sz="700" b="0" baseline="0">
              <a:solidFill>
                <a:sysClr val="windowText" lastClr="000000"/>
              </a:solidFill>
              <a:latin typeface="+mn-lt"/>
              <a:ea typeface="メイリオ" panose="020B0604030504040204" pitchFamily="50" charset="-128"/>
            </a:rPr>
            <a:t>）中古自動車等買取販売 － セグメント売上推移  </a:t>
          </a:r>
          <a:r>
            <a:rPr kumimoji="1" lang="en-US" altLang="ja-JP" sz="700" b="0" baseline="0">
              <a:solidFill>
                <a:sysClr val="windowText" lastClr="000000"/>
              </a:solidFill>
              <a:latin typeface="+mn-lt"/>
              <a:ea typeface="メイリオ" panose="020B0604030504040204" pitchFamily="50" charset="-128"/>
            </a:rPr>
            <a:t>………………………….…………17</a:t>
          </a:r>
          <a:endParaRPr kumimoji="1" lang="en-US" altLang="ja-JP" sz="700" b="0" i="0" u="none" strike="noStrike" kern="0" cap="none" spc="0" normalizeH="0" baseline="0" noProof="0">
            <a:ln>
              <a:noFill/>
            </a:ln>
            <a:solidFill>
              <a:sysClr val="windowText" lastClr="000000"/>
            </a:solidFill>
            <a:effectLst/>
            <a:uLnTx/>
            <a:uFillTx/>
            <a:latin typeface="+mn-lt"/>
            <a:ea typeface="メイリオ" panose="020B0604030504040204" pitchFamily="50" charset="-128"/>
            <a:cs typeface="+mn-cs"/>
          </a:endParaRPr>
        </a:p>
        <a:p>
          <a:pPr>
            <a:lnSpc>
              <a:spcPts val="800"/>
            </a:lnSpc>
          </a:pPr>
          <a:r>
            <a:rPr kumimoji="1" lang="en-US" altLang="ja-JP" sz="600" b="0" baseline="0">
              <a:solidFill>
                <a:sysClr val="windowText" lastClr="000000"/>
              </a:solidFill>
              <a:latin typeface="+mn-lt"/>
              <a:ea typeface="メイリオ" panose="020B0604030504040204" pitchFamily="50" charset="-128"/>
            </a:rPr>
            <a:t>           Used Vehicle Sales/Purchases Business - Sales Composition</a:t>
          </a:r>
        </a:p>
        <a:p>
          <a:pPr>
            <a:lnSpc>
              <a:spcPts val="1200"/>
            </a:lnSpc>
          </a:pPr>
          <a:r>
            <a:rPr kumimoji="1" lang="ja-JP" altLang="en-US" sz="700" b="0" i="0" u="none" strike="noStrike" kern="0" cap="none" spc="0" normalizeH="0" baseline="0" noProof="0">
              <a:ln>
                <a:noFill/>
              </a:ln>
              <a:solidFill>
                <a:sysClr val="windowText" lastClr="000000"/>
              </a:solidFill>
              <a:effectLst/>
              <a:uLnTx/>
              <a:uFillTx/>
              <a:latin typeface="+mn-lt"/>
              <a:ea typeface="メイリオ" panose="020B0604030504040204" pitchFamily="50" charset="-128"/>
              <a:cs typeface="+mn-cs"/>
            </a:rPr>
            <a:t>（</a:t>
          </a:r>
          <a:r>
            <a:rPr kumimoji="1" lang="en-US" altLang="ja-JP" sz="700" b="0" i="0" u="none" strike="noStrike" kern="0" cap="none" spc="0" normalizeH="0" baseline="0" noProof="0">
              <a:ln>
                <a:noFill/>
              </a:ln>
              <a:solidFill>
                <a:sysClr val="windowText" lastClr="000000"/>
              </a:solidFill>
              <a:effectLst/>
              <a:uLnTx/>
              <a:uFillTx/>
              <a:latin typeface="+mn-lt"/>
              <a:ea typeface="メイリオ" panose="020B0604030504040204" pitchFamily="50" charset="-128"/>
              <a:cs typeface="+mn-cs"/>
            </a:rPr>
            <a:t>8</a:t>
          </a:r>
          <a:r>
            <a:rPr kumimoji="1" lang="ja-JP" altLang="en-US" sz="700" b="0" i="0" u="none" strike="noStrike" kern="0" cap="none" spc="0" normalizeH="0" baseline="0" noProof="0">
              <a:ln>
                <a:noFill/>
              </a:ln>
              <a:solidFill>
                <a:sysClr val="windowText" lastClr="000000"/>
              </a:solidFill>
              <a:effectLst/>
              <a:uLnTx/>
              <a:uFillTx/>
              <a:latin typeface="+mn-lt"/>
              <a:ea typeface="メイリオ" panose="020B0604030504040204" pitchFamily="50" charset="-128"/>
              <a:cs typeface="+mn-cs"/>
            </a:rPr>
            <a:t>）リサイクル － セグメント売上推移  </a:t>
          </a:r>
          <a:r>
            <a:rPr kumimoji="1" lang="en-US" altLang="ja-JP" sz="700" b="0" i="0" u="none" strike="noStrike" kern="0" cap="none" spc="0" normalizeH="0" baseline="0" noProof="0">
              <a:ln>
                <a:noFill/>
              </a:ln>
              <a:solidFill>
                <a:sysClr val="windowText" lastClr="000000"/>
              </a:solidFill>
              <a:effectLst/>
              <a:uLnTx/>
              <a:uFillTx/>
              <a:latin typeface="+mn-lt"/>
              <a:ea typeface="メイリオ" panose="020B0604030504040204" pitchFamily="50" charset="-128"/>
              <a:cs typeface="+mn-cs"/>
            </a:rPr>
            <a:t>……………………………………….…………18</a:t>
          </a:r>
        </a:p>
        <a:p>
          <a:pPr>
            <a:lnSpc>
              <a:spcPts val="800"/>
            </a:lnSpc>
          </a:pPr>
          <a:r>
            <a:rPr kumimoji="1" lang="en-US" altLang="ja-JP" sz="600" b="0" i="0" u="none" strike="noStrike" kern="0" cap="none" spc="0" normalizeH="0" baseline="0" noProof="0">
              <a:ln>
                <a:noFill/>
              </a:ln>
              <a:solidFill>
                <a:sysClr val="windowText" lastClr="000000"/>
              </a:solidFill>
              <a:effectLst/>
              <a:uLnTx/>
              <a:uFillTx/>
              <a:latin typeface="+mn-lt"/>
              <a:ea typeface="メイリオ" panose="020B0604030504040204" pitchFamily="50" charset="-128"/>
              <a:cs typeface="+mn-cs"/>
            </a:rPr>
            <a:t> </a:t>
          </a:r>
          <a:r>
            <a:rPr kumimoji="1" lang="ja-JP" altLang="en-US" sz="600" b="0" i="0" u="none" strike="noStrike" kern="0" cap="none" spc="0" normalizeH="0" baseline="0" noProof="0">
              <a:ln>
                <a:noFill/>
              </a:ln>
              <a:solidFill>
                <a:sysClr val="windowText" lastClr="000000"/>
              </a:solidFill>
              <a:effectLst/>
              <a:uLnTx/>
              <a:uFillTx/>
              <a:latin typeface="+mn-lt"/>
              <a:ea typeface="メイリオ" panose="020B0604030504040204" pitchFamily="50" charset="-128"/>
              <a:cs typeface="+mn-cs"/>
            </a:rPr>
            <a:t>     　 </a:t>
          </a:r>
          <a:r>
            <a:rPr kumimoji="1" lang="en-US" altLang="ja-JP" sz="600" b="0" i="0" u="none" strike="noStrike" kern="0" cap="none" spc="0" normalizeH="0" baseline="0" noProof="0">
              <a:ln>
                <a:noFill/>
              </a:ln>
              <a:solidFill>
                <a:sysClr val="windowText" lastClr="000000"/>
              </a:solidFill>
              <a:effectLst/>
              <a:uLnTx/>
              <a:uFillTx/>
              <a:latin typeface="+mn-lt"/>
              <a:ea typeface="メイリオ" panose="020B0604030504040204" pitchFamily="50" charset="-128"/>
              <a:cs typeface="+mn-cs"/>
            </a:rPr>
            <a:t>Recycling Business - Sales Composition</a:t>
          </a:r>
          <a:endParaRPr kumimoji="1" lang="ja-JP" altLang="en-US" sz="600" b="0" baseline="0">
            <a:solidFill>
              <a:sysClr val="windowText" lastClr="000000"/>
            </a:solidFill>
            <a:latin typeface="+mn-lt"/>
            <a:ea typeface="メイリオ" panose="020B0604030504040204" pitchFamily="50" charset="-128"/>
          </a:endParaRPr>
        </a:p>
      </xdr:txBody>
    </xdr:sp>
    <xdr:clientData/>
  </xdr:twoCellAnchor>
  <xdr:twoCellAnchor>
    <xdr:from>
      <xdr:col>3</xdr:col>
      <xdr:colOff>50852</xdr:colOff>
      <xdr:row>11</xdr:row>
      <xdr:rowOff>96928</xdr:rowOff>
    </xdr:from>
    <xdr:to>
      <xdr:col>7</xdr:col>
      <xdr:colOff>85725</xdr:colOff>
      <xdr:row>12</xdr:row>
      <xdr:rowOff>186447</xdr:rowOff>
    </xdr:to>
    <xdr:sp macro="" textlink="">
      <xdr:nvSpPr>
        <xdr:cNvPr id="23" name="テキスト ボックス 22">
          <a:extLst>
            <a:ext uri="{FF2B5EF4-FFF2-40B4-BE49-F238E27FC236}">
              <a16:creationId xmlns:a16="http://schemas.microsoft.com/office/drawing/2014/main" id="{00000000-0008-0000-0200-000041000000}"/>
            </a:ext>
          </a:extLst>
        </xdr:cNvPr>
        <xdr:cNvSpPr txBox="1"/>
      </xdr:nvSpPr>
      <xdr:spPr>
        <a:xfrm>
          <a:off x="870002" y="2135278"/>
          <a:ext cx="4130623" cy="2032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1</a:t>
          </a:r>
          <a:r>
            <a:rPr kumimoji="1" lang="ja-JP" altLang="en-US" sz="700" b="0" baseline="0">
              <a:solidFill>
                <a:sysClr val="windowText" lastClr="000000"/>
              </a:solidFill>
              <a:latin typeface="+mn-lt"/>
              <a:ea typeface="メイリオ" panose="020B0604030504040204" pitchFamily="50" charset="-128"/>
            </a:rPr>
            <a:t>）自動車業界関連指標の推移（暦年）</a:t>
          </a:r>
          <a:r>
            <a:rPr kumimoji="1" lang="en-US" altLang="ja-JP" sz="700" b="0" baseline="0">
              <a:solidFill>
                <a:sysClr val="windowText" lastClr="000000"/>
              </a:solidFill>
              <a:latin typeface="+mn-lt"/>
              <a:ea typeface="メイリオ" panose="020B0604030504040204" pitchFamily="50" charset="-128"/>
            </a:rPr>
            <a:t>…………………………………………………</a:t>
          </a:r>
          <a:r>
            <a:rPr kumimoji="1" lang="ja-JP" altLang="en-US" sz="700" b="0" baseline="0">
              <a:solidFill>
                <a:sysClr val="windowText" lastClr="000000"/>
              </a:solidFill>
              <a:latin typeface="+mn-lt"/>
              <a:ea typeface="メイリオ" panose="020B0604030504040204" pitchFamily="50" charset="-128"/>
            </a:rPr>
            <a:t> </a:t>
          </a:r>
          <a:r>
            <a:rPr kumimoji="1" lang="en-US" altLang="ja-JP" sz="700" b="0" baseline="0">
              <a:solidFill>
                <a:sysClr val="windowText" lastClr="000000"/>
              </a:solidFill>
              <a:latin typeface="+mn-lt"/>
              <a:ea typeface="メイリオ" panose="020B0604030504040204" pitchFamily="50" charset="-128"/>
            </a:rPr>
            <a:t>2</a:t>
          </a:r>
        </a:p>
        <a:p>
          <a:pPr>
            <a:lnSpc>
              <a:spcPts val="800"/>
            </a:lnSpc>
          </a:pPr>
          <a:r>
            <a:rPr kumimoji="1" lang="en-US" altLang="ja-JP" sz="600" b="0" baseline="0">
              <a:solidFill>
                <a:sysClr val="windowText" lastClr="000000"/>
              </a:solidFill>
              <a:latin typeface="+mn-lt"/>
              <a:ea typeface="メイリオ" panose="020B0604030504040204" pitchFamily="50" charset="-128"/>
            </a:rPr>
            <a:t>        </a:t>
          </a:r>
          <a:r>
            <a:rPr kumimoji="1" lang="ja-JP" altLang="en-US" sz="600" b="0" baseline="0">
              <a:solidFill>
                <a:sysClr val="windowText" lastClr="000000"/>
              </a:solidFill>
              <a:latin typeface="+mn-lt"/>
              <a:ea typeface="メイリオ" panose="020B0604030504040204" pitchFamily="50" charset="-128"/>
            </a:rPr>
            <a:t>   </a:t>
          </a:r>
          <a:r>
            <a:rPr kumimoji="1" lang="en-US" altLang="ja-JP" sz="600" b="0" baseline="0">
              <a:solidFill>
                <a:sysClr val="windowText" lastClr="000000"/>
              </a:solidFill>
              <a:latin typeface="+mn-lt"/>
              <a:ea typeface="メイリオ" panose="020B0604030504040204" pitchFamily="50" charset="-128"/>
            </a:rPr>
            <a:t>Automobile Industry Statistics (Calendar Year)</a:t>
          </a:r>
        </a:p>
        <a:p>
          <a:pPr>
            <a:lnSpc>
              <a:spcPts val="1200"/>
            </a:lnSpc>
          </a:pP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2</a:t>
          </a:r>
          <a:r>
            <a:rPr kumimoji="1" lang="ja-JP" altLang="en-US" sz="700" b="0" baseline="0">
              <a:solidFill>
                <a:sysClr val="windowText" lastClr="000000"/>
              </a:solidFill>
              <a:latin typeface="+mn-lt"/>
              <a:ea typeface="メイリオ" panose="020B0604030504040204" pitchFamily="50" charset="-128"/>
            </a:rPr>
            <a:t>）中古車輸出台数の推移（暦年）</a:t>
          </a:r>
          <a:r>
            <a:rPr kumimoji="1" lang="en-US" altLang="ja-JP" sz="700" b="0" baseline="0">
              <a:solidFill>
                <a:sysClr val="windowText" lastClr="000000"/>
              </a:solidFill>
              <a:latin typeface="+mn-lt"/>
              <a:ea typeface="メイリオ" panose="020B0604030504040204" pitchFamily="50" charset="-128"/>
            </a:rPr>
            <a:t>……………………………………………………… 3</a:t>
          </a:r>
        </a:p>
        <a:p>
          <a:pPr>
            <a:lnSpc>
              <a:spcPts val="800"/>
            </a:lnSpc>
          </a:pPr>
          <a:r>
            <a:rPr kumimoji="1" lang="ja-JP" altLang="en-US" sz="600" b="0" baseline="0">
              <a:solidFill>
                <a:sysClr val="windowText" lastClr="000000"/>
              </a:solidFill>
              <a:latin typeface="+mn-lt"/>
              <a:ea typeface="メイリオ" panose="020B0604030504040204" pitchFamily="50" charset="-128"/>
            </a:rPr>
            <a:t>　　　</a:t>
          </a:r>
          <a:r>
            <a:rPr kumimoji="1" lang="en-US" altLang="ja-JP" sz="600" b="0" baseline="0">
              <a:solidFill>
                <a:sysClr val="windowText" lastClr="000000"/>
              </a:solidFill>
              <a:latin typeface="+mn-lt"/>
              <a:ea typeface="メイリオ" panose="020B0604030504040204" pitchFamily="50" charset="-128"/>
            </a:rPr>
            <a:t>Used Car Exports (Calendar Year)</a:t>
          </a:r>
        </a:p>
        <a:p>
          <a:pPr>
            <a:lnSpc>
              <a:spcPts val="1200"/>
            </a:lnSpc>
          </a:pP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3</a:t>
          </a:r>
          <a:r>
            <a:rPr kumimoji="1" lang="ja-JP" altLang="en-US" sz="700" b="0" baseline="0">
              <a:solidFill>
                <a:sysClr val="windowText" lastClr="000000"/>
              </a:solidFill>
              <a:latin typeface="+mn-lt"/>
              <a:ea typeface="メイリオ" panose="020B0604030504040204" pitchFamily="50" charset="-128"/>
            </a:rPr>
            <a:t>）業態別オートオークション出品台数（暦年）</a:t>
          </a:r>
          <a:r>
            <a:rPr kumimoji="1" lang="en-US" altLang="ja-JP" sz="700" b="0" i="0" u="none" strike="noStrike" kern="0" cap="none" spc="0" normalizeH="0" baseline="0" noProof="0">
              <a:ln>
                <a:noFill/>
              </a:ln>
              <a:solidFill>
                <a:sysClr val="windowText" lastClr="000000"/>
              </a:solidFill>
              <a:effectLst/>
              <a:uLnTx/>
              <a:uFillTx/>
              <a:latin typeface="+mn-lt"/>
              <a:ea typeface="メイリオ" panose="020B0604030504040204" pitchFamily="50" charset="-128"/>
              <a:cs typeface="+mn-cs"/>
            </a:rPr>
            <a:t>……………………………………… 4</a:t>
          </a:r>
          <a:endParaRPr kumimoji="1" lang="en-US" altLang="ja-JP" sz="700" b="0" baseline="0">
            <a:solidFill>
              <a:sysClr val="windowText" lastClr="000000"/>
            </a:solidFill>
            <a:latin typeface="+mn-lt"/>
            <a:ea typeface="メイリオ" panose="020B0604030504040204" pitchFamily="50" charset="-128"/>
          </a:endParaRPr>
        </a:p>
        <a:p>
          <a:pPr>
            <a:lnSpc>
              <a:spcPts val="800"/>
            </a:lnSpc>
          </a:pPr>
          <a:r>
            <a:rPr kumimoji="1" lang="ja-JP" altLang="en-US" sz="600" b="0" baseline="0">
              <a:solidFill>
                <a:sysClr val="windowText" lastClr="000000"/>
              </a:solidFill>
              <a:latin typeface="+mn-lt"/>
              <a:ea typeface="メイリオ" panose="020B0604030504040204" pitchFamily="50" charset="-128"/>
              <a:cs typeface="Calibri" panose="020F0502020204030204" pitchFamily="34" charset="0"/>
            </a:rPr>
            <a:t>           </a:t>
          </a:r>
          <a:r>
            <a:rPr kumimoji="1" lang="en-US" altLang="ja-JP" sz="600" b="0" baseline="0">
              <a:solidFill>
                <a:sysClr val="windowText" lastClr="000000"/>
              </a:solidFill>
              <a:latin typeface="+mn-lt"/>
              <a:ea typeface="メイリオ" panose="020B0604030504040204" pitchFamily="50" charset="-128"/>
              <a:cs typeface="Calibri" panose="020F0502020204030204" pitchFamily="34" charset="0"/>
            </a:rPr>
            <a:t>Market Share by Auction Site Category (Calendar Year)</a:t>
          </a: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4</a:t>
          </a:r>
          <a:r>
            <a:rPr kumimoji="1" lang="ja-JP" altLang="en-US" sz="700" b="0" baseline="0">
              <a:solidFill>
                <a:sysClr val="windowText" lastClr="000000"/>
              </a:solidFill>
              <a:latin typeface="+mn-lt"/>
              <a:ea typeface="メイリオ" panose="020B0604030504040204" pitchFamily="50" charset="-128"/>
            </a:rPr>
            <a:t>）オートオークション業界グループ別出品台数シェア（暦年）</a:t>
          </a:r>
          <a:r>
            <a:rPr kumimoji="1" lang="en-US" altLang="ja-JP" sz="700" b="0" i="0" u="none" strike="noStrike" kern="0" cap="none" spc="0" normalizeH="0" baseline="0" noProof="0">
              <a:ln>
                <a:noFill/>
              </a:ln>
              <a:solidFill>
                <a:sysClr val="windowText" lastClr="000000"/>
              </a:solidFill>
              <a:effectLst/>
              <a:uLnTx/>
              <a:uFillTx/>
              <a:latin typeface="+mn-lt"/>
              <a:ea typeface="メイリオ" panose="020B0604030504040204" pitchFamily="50" charset="-128"/>
              <a:cs typeface="+mn-cs"/>
            </a:rPr>
            <a:t>…………………… 5 </a:t>
          </a:r>
        </a:p>
        <a:p>
          <a:pPr marL="0" marR="0" lvl="0" indent="0" defTabSz="914400" eaLnBrk="1" fontAlgn="auto" latinLnBrk="0" hangingPunct="1">
            <a:lnSpc>
              <a:spcPts val="800"/>
            </a:lnSpc>
            <a:spcBef>
              <a:spcPts val="0"/>
            </a:spcBef>
            <a:spcAft>
              <a:spcPts val="0"/>
            </a:spcAft>
            <a:buClrTx/>
            <a:buSzTx/>
            <a:buFontTx/>
            <a:buNone/>
            <a:tabLst/>
            <a:defRPr/>
          </a:pPr>
          <a:r>
            <a:rPr kumimoji="1" lang="ja-JP" altLang="en-US" sz="600" b="0" i="0" u="none" strike="noStrike" kern="0" cap="none" spc="0" normalizeH="0" baseline="0" noProof="0">
              <a:ln>
                <a:noFill/>
              </a:ln>
              <a:solidFill>
                <a:sysClr val="windowText" lastClr="000000"/>
              </a:solidFill>
              <a:effectLst/>
              <a:uLnTx/>
              <a:uFillTx/>
              <a:latin typeface="+mn-lt"/>
              <a:ea typeface="メイリオ" panose="020B0604030504040204" pitchFamily="50" charset="-128"/>
              <a:cs typeface="Calibri" panose="020F0502020204030204" pitchFamily="34" charset="0"/>
            </a:rPr>
            <a:t> 　　   </a:t>
          </a:r>
          <a:r>
            <a:rPr kumimoji="1" lang="en-US" altLang="ja-JP" sz="600" b="0" i="0" u="none" strike="noStrike" kern="0" cap="none" spc="0" normalizeH="0" baseline="0" noProof="0">
              <a:ln>
                <a:noFill/>
              </a:ln>
              <a:solidFill>
                <a:sysClr val="windowText" lastClr="000000"/>
              </a:solidFill>
              <a:effectLst/>
              <a:uLnTx/>
              <a:uFillTx/>
              <a:latin typeface="+mn-lt"/>
              <a:ea typeface="メイリオ" panose="020B0604030504040204" pitchFamily="50" charset="-128"/>
              <a:cs typeface="Calibri" panose="020F0502020204030204" pitchFamily="34" charset="0"/>
            </a:rPr>
            <a:t>Market Share by Auto Auction Industry Group (Calendar Year)</a:t>
          </a: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5</a:t>
          </a:r>
          <a:r>
            <a:rPr kumimoji="1" lang="ja-JP" altLang="en-US" sz="700" b="0" baseline="0">
              <a:solidFill>
                <a:sysClr val="windowText" lastClr="000000"/>
              </a:solidFill>
              <a:latin typeface="+mn-lt"/>
              <a:ea typeface="メイリオ" panose="020B0604030504040204" pitchFamily="50" charset="-128"/>
            </a:rPr>
            <a:t>）オートオークション会場出品台数ランキング（暦年）</a:t>
          </a:r>
          <a:r>
            <a:rPr kumimoji="1" lang="en-US" altLang="ja-JP" sz="700" b="0" i="0" u="none" strike="noStrike" kern="0" cap="none" spc="0" normalizeH="0" baseline="0" noProof="0">
              <a:ln>
                <a:noFill/>
              </a:ln>
              <a:solidFill>
                <a:sysClr val="windowText" lastClr="000000"/>
              </a:solidFill>
              <a:effectLst/>
              <a:uLnTx/>
              <a:uFillTx/>
              <a:latin typeface="+mn-lt"/>
              <a:ea typeface="メイリオ" panose="020B0604030504040204" pitchFamily="50" charset="-128"/>
              <a:cs typeface="+mn-cs"/>
            </a:rPr>
            <a:t>…………………………… 6 </a:t>
          </a:r>
        </a:p>
        <a:p>
          <a:pPr>
            <a:lnSpc>
              <a:spcPts val="800"/>
            </a:lnSpc>
          </a:pPr>
          <a:r>
            <a:rPr kumimoji="1" lang="en-US" altLang="ja-JP" sz="600" b="0" baseline="0">
              <a:solidFill>
                <a:sysClr val="windowText" lastClr="000000"/>
              </a:solidFill>
              <a:latin typeface="+mn-lt"/>
              <a:ea typeface="メイリオ" panose="020B0604030504040204" pitchFamily="50" charset="-128"/>
            </a:rPr>
            <a:t>        </a:t>
          </a:r>
          <a:r>
            <a:rPr kumimoji="1" lang="ja-JP" altLang="en-US" sz="600" b="0" baseline="0">
              <a:solidFill>
                <a:sysClr val="windowText" lastClr="000000"/>
              </a:solidFill>
              <a:latin typeface="+mn-lt"/>
              <a:ea typeface="メイリオ" panose="020B0604030504040204" pitchFamily="50" charset="-128"/>
            </a:rPr>
            <a:t>   </a:t>
          </a:r>
          <a:r>
            <a:rPr kumimoji="1" lang="en-US" altLang="ja-JP" sz="600" b="0" baseline="0">
              <a:solidFill>
                <a:sysClr val="windowText" lastClr="000000"/>
              </a:solidFill>
              <a:latin typeface="+mn-lt"/>
              <a:ea typeface="メイリオ" panose="020B0604030504040204" pitchFamily="50" charset="-128"/>
            </a:rPr>
            <a:t>Ranking of Auto Auction Sites by Number of Consigned Vehicles (Calendar Year)</a:t>
          </a: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6</a:t>
          </a:r>
          <a:r>
            <a:rPr kumimoji="1" lang="ja-JP" altLang="en-US" sz="700" b="0" baseline="0">
              <a:solidFill>
                <a:sysClr val="windowText" lastClr="000000"/>
              </a:solidFill>
              <a:latin typeface="+mn-lt"/>
              <a:ea typeface="メイリオ" panose="020B0604030504040204" pitchFamily="50" charset="-128"/>
            </a:rPr>
            <a:t>）地域別オートオークション会場出品台数ランキング（暦年）</a:t>
          </a:r>
          <a:r>
            <a:rPr kumimoji="1" lang="en-US" altLang="ja-JP" sz="700" b="0" i="0" u="none" strike="noStrike" kern="0" cap="none" spc="0" normalizeH="0" baseline="0" noProof="0">
              <a:ln>
                <a:noFill/>
              </a:ln>
              <a:solidFill>
                <a:sysClr val="windowText" lastClr="000000"/>
              </a:solidFill>
              <a:effectLst/>
              <a:uLnTx/>
              <a:uFillTx/>
              <a:latin typeface="+mn-lt"/>
              <a:ea typeface="メイリオ" panose="020B0604030504040204" pitchFamily="50" charset="-128"/>
              <a:cs typeface="+mn-cs"/>
            </a:rPr>
            <a:t>…………………… 7</a:t>
          </a:r>
        </a:p>
        <a:p>
          <a:pPr marL="0" marR="0" lvl="0" indent="0" defTabSz="914400" eaLnBrk="1" fontAlgn="auto" latinLnBrk="0" hangingPunct="1">
            <a:lnSpc>
              <a:spcPts val="800"/>
            </a:lnSpc>
            <a:spcBef>
              <a:spcPts val="0"/>
            </a:spcBef>
            <a:spcAft>
              <a:spcPts val="0"/>
            </a:spcAft>
            <a:buClrTx/>
            <a:buSzTx/>
            <a:buFontTx/>
            <a:buNone/>
            <a:tabLst/>
            <a:defRPr/>
          </a:pPr>
          <a:r>
            <a:rPr kumimoji="1" lang="ja-JP" altLang="en-US" sz="600" b="0" i="0" u="none" strike="noStrike" kern="0" cap="none" spc="0" normalizeH="0" baseline="0" noProof="0">
              <a:ln>
                <a:noFill/>
              </a:ln>
              <a:solidFill>
                <a:sysClr val="windowText" lastClr="000000"/>
              </a:solidFill>
              <a:effectLst/>
              <a:uLnTx/>
              <a:uFillTx/>
              <a:latin typeface="+mn-lt"/>
              <a:ea typeface="メイリオ" panose="020B0604030504040204" pitchFamily="50" charset="-128"/>
              <a:cs typeface="+mn-cs"/>
            </a:rPr>
            <a:t>　　　</a:t>
          </a:r>
          <a:r>
            <a:rPr kumimoji="1" lang="en-US" altLang="ja-JP" sz="600" b="0" baseline="0">
              <a:solidFill>
                <a:sysClr val="windowText" lastClr="000000"/>
              </a:solidFill>
              <a:latin typeface="+mn-lt"/>
              <a:ea typeface="メイリオ" panose="020B0604030504040204" pitchFamily="50" charset="-128"/>
            </a:rPr>
            <a:t>Ranking of Auto Auction Sites by Number of Consigned Vehicles by Area (Calendar Year)</a:t>
          </a: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7</a:t>
          </a:r>
          <a:r>
            <a:rPr kumimoji="1" lang="ja-JP" altLang="en-US" sz="700" b="0" baseline="0">
              <a:solidFill>
                <a:sysClr val="windowText" lastClr="000000"/>
              </a:solidFill>
              <a:latin typeface="+mn-lt"/>
              <a:ea typeface="メイリオ" panose="020B0604030504040204" pitchFamily="50" charset="-128"/>
            </a:rPr>
            <a:t>）二輪車業界関連指標の推移（暦年）</a:t>
          </a:r>
          <a:r>
            <a:rPr kumimoji="1" lang="en-US" altLang="ja-JP" sz="700" b="0" i="0" u="none" strike="noStrike" kern="0" cap="none" spc="0" normalizeH="0" baseline="0" noProof="0">
              <a:ln>
                <a:noFill/>
              </a:ln>
              <a:solidFill>
                <a:sysClr val="windowText" lastClr="000000"/>
              </a:solidFill>
              <a:effectLst/>
              <a:uLnTx/>
              <a:uFillTx/>
              <a:latin typeface="+mn-lt"/>
              <a:ea typeface="メイリオ" panose="020B0604030504040204" pitchFamily="50" charset="-128"/>
              <a:cs typeface="+mn-cs"/>
            </a:rPr>
            <a:t>………………………………………………… 8</a:t>
          </a:r>
          <a:r>
            <a:rPr kumimoji="1" lang="en-US" altLang="ja-JP" sz="700" b="0" baseline="0">
              <a:solidFill>
                <a:sysClr val="windowText" lastClr="000000"/>
              </a:solidFill>
              <a:latin typeface="+mn-lt"/>
              <a:ea typeface="メイリオ" panose="020B0604030504040204" pitchFamily="50" charset="-128"/>
            </a:rPr>
            <a:t> </a:t>
          </a:r>
        </a:p>
        <a:p>
          <a:pPr marL="0" marR="0" lvl="0" indent="0" defTabSz="914400" eaLnBrk="1" fontAlgn="auto" latinLnBrk="0" hangingPunct="1">
            <a:lnSpc>
              <a:spcPts val="800"/>
            </a:lnSpc>
            <a:spcBef>
              <a:spcPts val="0"/>
            </a:spcBef>
            <a:spcAft>
              <a:spcPts val="0"/>
            </a:spcAft>
            <a:buClrTx/>
            <a:buSzTx/>
            <a:buFontTx/>
            <a:buNone/>
            <a:tabLst/>
            <a:defRPr/>
          </a:pPr>
          <a:r>
            <a:rPr kumimoji="1" lang="ja-JP" altLang="en-US" sz="600" b="0" baseline="0">
              <a:solidFill>
                <a:sysClr val="windowText" lastClr="000000"/>
              </a:solidFill>
              <a:latin typeface="+mn-lt"/>
              <a:ea typeface="メイリオ" panose="020B0604030504040204" pitchFamily="50" charset="-128"/>
            </a:rPr>
            <a:t>　</a:t>
          </a:r>
          <a:r>
            <a:rPr kumimoji="1" lang="en-US" altLang="ja-JP" sz="600" b="0" baseline="0">
              <a:solidFill>
                <a:sysClr val="windowText" lastClr="000000"/>
              </a:solidFill>
              <a:latin typeface="+mn-lt"/>
              <a:ea typeface="メイリオ" panose="020B0604030504040204" pitchFamily="50" charset="-128"/>
            </a:rPr>
            <a:t>       Motorcycle Industry Statistics (Calendar Year)</a:t>
          </a:r>
          <a:endParaRPr kumimoji="1" lang="ja-JP" altLang="en-US" sz="600" b="0" baseline="0">
            <a:solidFill>
              <a:sysClr val="windowText" lastClr="000000"/>
            </a:solidFill>
            <a:latin typeface="+mn-lt"/>
            <a:ea typeface="メイリオ" panose="020B0604030504040204" pitchFamily="50" charset="-128"/>
          </a:endParaRPr>
        </a:p>
      </xdr:txBody>
    </xdr:sp>
    <xdr:clientData/>
  </xdr:twoCellAnchor>
  <xdr:twoCellAnchor>
    <xdr:from>
      <xdr:col>8</xdr:col>
      <xdr:colOff>48403</xdr:colOff>
      <xdr:row>12</xdr:row>
      <xdr:rowOff>190499</xdr:rowOff>
    </xdr:from>
    <xdr:to>
      <xdr:col>12</xdr:col>
      <xdr:colOff>407988</xdr:colOff>
      <xdr:row>17</xdr:row>
      <xdr:rowOff>142630</xdr:rowOff>
    </xdr:to>
    <xdr:sp macro="" textlink="">
      <xdr:nvSpPr>
        <xdr:cNvPr id="24" name="テキスト ボックス 23">
          <a:extLst>
            <a:ext uri="{FF2B5EF4-FFF2-40B4-BE49-F238E27FC236}">
              <a16:creationId xmlns:a16="http://schemas.microsoft.com/office/drawing/2014/main" id="{00000000-0008-0000-0200-000042000000}"/>
            </a:ext>
          </a:extLst>
        </xdr:cNvPr>
        <xdr:cNvSpPr txBox="1"/>
      </xdr:nvSpPr>
      <xdr:spPr>
        <a:xfrm>
          <a:off x="5155268" y="4169018"/>
          <a:ext cx="4213547" cy="145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1</a:t>
          </a:r>
          <a:r>
            <a:rPr kumimoji="1" lang="ja-JP" altLang="en-US" sz="700" b="0" baseline="0">
              <a:solidFill>
                <a:sysClr val="windowText" lastClr="000000"/>
              </a:solidFill>
              <a:latin typeface="+mn-lt"/>
              <a:ea typeface="メイリオ" panose="020B0604030504040204" pitchFamily="50" charset="-128"/>
            </a:rPr>
            <a:t>）連結損益計算書 </a:t>
          </a:r>
          <a:r>
            <a:rPr kumimoji="1" lang="en-US" altLang="ja-JP" sz="700" b="0" baseline="0">
              <a:solidFill>
                <a:sysClr val="windowText" lastClr="000000"/>
              </a:solidFill>
              <a:latin typeface="+mn-lt"/>
              <a:ea typeface="メイリオ" panose="020B0604030504040204" pitchFamily="50" charset="-128"/>
            </a:rPr>
            <a:t>…………………………………………………………………………19</a:t>
          </a:r>
        </a:p>
        <a:p>
          <a:pPr>
            <a:lnSpc>
              <a:spcPts val="800"/>
            </a:lnSpc>
          </a:pPr>
          <a:r>
            <a:rPr kumimoji="1" lang="en-US" altLang="ja-JP" sz="600" b="0" baseline="0">
              <a:solidFill>
                <a:sysClr val="windowText" lastClr="000000"/>
              </a:solidFill>
              <a:latin typeface="+mn-lt"/>
              <a:ea typeface="メイリオ" panose="020B0604030504040204" pitchFamily="50" charset="-128"/>
            </a:rPr>
            <a:t>           Consolidated Statements of Income</a:t>
          </a:r>
        </a:p>
        <a:p>
          <a:pPr>
            <a:lnSpc>
              <a:spcPts val="1200"/>
            </a:lnSpc>
          </a:pP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2</a:t>
          </a:r>
          <a:r>
            <a:rPr kumimoji="1" lang="ja-JP" altLang="en-US" sz="700" b="0" baseline="0">
              <a:solidFill>
                <a:sysClr val="windowText" lastClr="000000"/>
              </a:solidFill>
              <a:latin typeface="+mn-lt"/>
              <a:ea typeface="メイリオ" panose="020B0604030504040204" pitchFamily="50" charset="-128"/>
            </a:rPr>
            <a:t>）連結貸借対照表 </a:t>
          </a:r>
          <a:r>
            <a:rPr kumimoji="1" lang="en-US" altLang="ja-JP" sz="700" b="0" baseline="0">
              <a:solidFill>
                <a:sysClr val="windowText" lastClr="000000"/>
              </a:solidFill>
              <a:latin typeface="+mn-lt"/>
              <a:ea typeface="メイリオ" panose="020B0604030504040204" pitchFamily="50" charset="-128"/>
            </a:rPr>
            <a:t>…………………………………………………………………………20</a:t>
          </a:r>
        </a:p>
        <a:p>
          <a:pPr>
            <a:lnSpc>
              <a:spcPts val="800"/>
            </a:lnSpc>
          </a:pPr>
          <a:r>
            <a:rPr kumimoji="1" lang="en-US" altLang="ja-JP" sz="600" b="0" baseline="0">
              <a:solidFill>
                <a:sysClr val="windowText" lastClr="000000"/>
              </a:solidFill>
              <a:latin typeface="+mn-lt"/>
              <a:ea typeface="メイリオ" panose="020B0604030504040204" pitchFamily="50" charset="-128"/>
              <a:cs typeface="Calibri" panose="020F0502020204030204" pitchFamily="34" charset="0"/>
            </a:rPr>
            <a:t>     </a:t>
          </a:r>
          <a:r>
            <a:rPr kumimoji="1" lang="ja-JP" altLang="en-US" sz="600" b="0" baseline="0">
              <a:solidFill>
                <a:sysClr val="windowText" lastClr="000000"/>
              </a:solidFill>
              <a:latin typeface="+mn-lt"/>
              <a:ea typeface="メイリオ" panose="020B0604030504040204" pitchFamily="50" charset="-128"/>
              <a:cs typeface="Calibri" panose="020F0502020204030204" pitchFamily="34" charset="0"/>
            </a:rPr>
            <a:t>　  </a:t>
          </a:r>
          <a:r>
            <a:rPr kumimoji="1" lang="en-US" altLang="ja-JP" sz="600" b="0" baseline="0">
              <a:solidFill>
                <a:sysClr val="windowText" lastClr="000000"/>
              </a:solidFill>
              <a:latin typeface="+mn-lt"/>
              <a:ea typeface="メイリオ" panose="020B0604030504040204" pitchFamily="50" charset="-128"/>
              <a:cs typeface="Calibri" panose="020F0502020204030204" pitchFamily="34" charset="0"/>
            </a:rPr>
            <a:t>Consolidated Balance Sheet</a:t>
          </a:r>
        </a:p>
        <a:p>
          <a:pPr>
            <a:lnSpc>
              <a:spcPts val="1200"/>
            </a:lnSpc>
          </a:pP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3</a:t>
          </a:r>
          <a:r>
            <a:rPr kumimoji="1" lang="ja-JP" altLang="en-US" sz="700" b="0" baseline="0">
              <a:solidFill>
                <a:sysClr val="windowText" lastClr="000000"/>
              </a:solidFill>
              <a:latin typeface="+mn-lt"/>
              <a:ea typeface="メイリオ" panose="020B0604030504040204" pitchFamily="50" charset="-128"/>
            </a:rPr>
            <a:t>）連結キャッシュ・フロー計算書 </a:t>
          </a:r>
          <a:r>
            <a:rPr kumimoji="1" lang="en-US" altLang="ja-JP" sz="700" b="0" baseline="0">
              <a:solidFill>
                <a:sysClr val="windowText" lastClr="000000"/>
              </a:solidFill>
              <a:latin typeface="+mn-lt"/>
              <a:ea typeface="メイリオ" panose="020B0604030504040204" pitchFamily="50" charset="-128"/>
            </a:rPr>
            <a:t>………………………………………………………21  </a:t>
          </a:r>
        </a:p>
        <a:p>
          <a:pPr>
            <a:lnSpc>
              <a:spcPts val="800"/>
            </a:lnSpc>
          </a:pPr>
          <a:r>
            <a:rPr kumimoji="1" lang="en-US" altLang="ja-JP" sz="600" b="0" baseline="0">
              <a:solidFill>
                <a:sysClr val="windowText" lastClr="000000"/>
              </a:solidFill>
              <a:latin typeface="+mn-lt"/>
              <a:ea typeface="メイリオ" panose="020B0604030504040204" pitchFamily="50" charset="-128"/>
            </a:rPr>
            <a:t> </a:t>
          </a:r>
          <a:r>
            <a:rPr kumimoji="1" lang="ja-JP" altLang="en-US" sz="600" b="0" baseline="0">
              <a:solidFill>
                <a:sysClr val="windowText" lastClr="000000"/>
              </a:solidFill>
              <a:latin typeface="+mn-lt"/>
              <a:ea typeface="メイリオ" panose="020B0604030504040204" pitchFamily="50" charset="-128"/>
            </a:rPr>
            <a:t>　　   </a:t>
          </a:r>
          <a:r>
            <a:rPr kumimoji="1" lang="en-US" altLang="ja-JP" sz="600" b="0" baseline="0">
              <a:solidFill>
                <a:sysClr val="windowText" lastClr="000000"/>
              </a:solidFill>
              <a:latin typeface="+mn-lt"/>
              <a:ea typeface="メイリオ" panose="020B0604030504040204" pitchFamily="50" charset="-128"/>
            </a:rPr>
            <a:t>Consolidated Statements of Cash Flows</a:t>
          </a:r>
        </a:p>
        <a:p>
          <a:pPr>
            <a:lnSpc>
              <a:spcPts val="1200"/>
            </a:lnSpc>
          </a:pP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4</a:t>
          </a:r>
          <a:r>
            <a:rPr kumimoji="1" lang="ja-JP" altLang="en-US" sz="700" b="0" baseline="0">
              <a:solidFill>
                <a:sysClr val="windowText" lastClr="000000"/>
              </a:solidFill>
              <a:latin typeface="+mn-lt"/>
              <a:ea typeface="メイリオ" panose="020B0604030504040204" pitchFamily="50" charset="-128"/>
            </a:rPr>
            <a:t>）</a:t>
          </a:r>
          <a:r>
            <a:rPr kumimoji="1" lang="en-US" altLang="ja-JP" sz="700" b="0" baseline="0">
              <a:solidFill>
                <a:sysClr val="windowText" lastClr="000000"/>
              </a:solidFill>
              <a:latin typeface="+mn-lt"/>
              <a:ea typeface="メイリオ" panose="020B0604030504040204" pitchFamily="50" charset="-128"/>
            </a:rPr>
            <a:t>2027</a:t>
          </a:r>
          <a:r>
            <a:rPr kumimoji="1" lang="ja-JP" altLang="en-US" sz="700" b="0" baseline="0">
              <a:solidFill>
                <a:sysClr val="windowText" lastClr="000000"/>
              </a:solidFill>
              <a:latin typeface="+mn-lt"/>
              <a:ea typeface="メイリオ" panose="020B0604030504040204" pitchFamily="50" charset="-128"/>
            </a:rPr>
            <a:t>年</a:t>
          </a:r>
          <a:r>
            <a:rPr kumimoji="1" lang="en-US" altLang="ja-JP" sz="700" b="0" baseline="0">
              <a:solidFill>
                <a:sysClr val="windowText" lastClr="000000"/>
              </a:solidFill>
              <a:latin typeface="+mn-lt"/>
              <a:ea typeface="メイリオ" panose="020B0604030504040204" pitchFamily="50" charset="-128"/>
            </a:rPr>
            <a:t>3</a:t>
          </a:r>
          <a:r>
            <a:rPr kumimoji="1" lang="ja-JP" altLang="en-US" sz="700" b="0" baseline="0">
              <a:solidFill>
                <a:sysClr val="windowText" lastClr="000000"/>
              </a:solidFill>
              <a:latin typeface="+mn-lt"/>
              <a:ea typeface="メイリオ" panose="020B0604030504040204" pitchFamily="50" charset="-128"/>
            </a:rPr>
            <a:t>月期の計画（連結） </a:t>
          </a:r>
          <a:r>
            <a:rPr kumimoji="1" lang="en-US" altLang="ja-JP" sz="700" b="0" baseline="0">
              <a:solidFill>
                <a:sysClr val="windowText" lastClr="000000"/>
              </a:solidFill>
              <a:latin typeface="+mn-lt"/>
              <a:ea typeface="メイリオ" panose="020B0604030504040204" pitchFamily="50" charset="-128"/>
            </a:rPr>
            <a:t>……………………………………………….…………22</a:t>
          </a:r>
        </a:p>
        <a:p>
          <a:pPr>
            <a:lnSpc>
              <a:spcPts val="800"/>
            </a:lnSpc>
          </a:pPr>
          <a:r>
            <a:rPr kumimoji="1" lang="en-US" altLang="ja-JP" sz="600" b="0" i="0" u="none" strike="noStrike" kern="0" cap="none" spc="0" normalizeH="0" baseline="0" noProof="0">
              <a:ln>
                <a:noFill/>
              </a:ln>
              <a:solidFill>
                <a:sysClr val="windowText" lastClr="000000"/>
              </a:solidFill>
              <a:effectLst/>
              <a:uLnTx/>
              <a:uFillTx/>
              <a:latin typeface="+mn-lt"/>
              <a:ea typeface="メイリオ" panose="020B0604030504040204" pitchFamily="50" charset="-128"/>
              <a:cs typeface="+mn-cs"/>
            </a:rPr>
            <a:t>           Forecast for the Fiscal Year Ending March 31, 2027 (Consolidated)</a:t>
          </a:r>
        </a:p>
      </xdr:txBody>
    </xdr:sp>
    <xdr:clientData/>
  </xdr:twoCellAnchor>
  <xdr:twoCellAnchor>
    <xdr:from>
      <xdr:col>6</xdr:col>
      <xdr:colOff>330852</xdr:colOff>
      <xdr:row>18</xdr:row>
      <xdr:rowOff>135301</xdr:rowOff>
    </xdr:from>
    <xdr:to>
      <xdr:col>12</xdr:col>
      <xdr:colOff>437011</xdr:colOff>
      <xdr:row>20</xdr:row>
      <xdr:rowOff>163513</xdr:rowOff>
    </xdr:to>
    <xdr:grpSp>
      <xdr:nvGrpSpPr>
        <xdr:cNvPr id="33" name="グループ化 32">
          <a:extLst>
            <a:ext uri="{FF2B5EF4-FFF2-40B4-BE49-F238E27FC236}">
              <a16:creationId xmlns:a16="http://schemas.microsoft.com/office/drawing/2014/main" id="{00000000-0008-0000-0200-000009000000}"/>
            </a:ext>
          </a:extLst>
        </xdr:cNvPr>
        <xdr:cNvGrpSpPr/>
      </xdr:nvGrpSpPr>
      <xdr:grpSpPr>
        <a:xfrm>
          <a:off x="4634213" y="5420917"/>
          <a:ext cx="4292861" cy="423120"/>
          <a:chOff x="4792689" y="5615994"/>
          <a:chExt cx="4585193" cy="417803"/>
        </a:xfrm>
      </xdr:grpSpPr>
      <xdr:sp macro="" textlink="">
        <xdr:nvSpPr>
          <xdr:cNvPr id="34" name="テキスト ボックス 33">
            <a:extLst>
              <a:ext uri="{FF2B5EF4-FFF2-40B4-BE49-F238E27FC236}">
                <a16:creationId xmlns:a16="http://schemas.microsoft.com/office/drawing/2014/main" id="{00000000-0008-0000-0200-000039000000}"/>
              </a:ext>
            </a:extLst>
          </xdr:cNvPr>
          <xdr:cNvSpPr txBox="1"/>
        </xdr:nvSpPr>
        <xdr:spPr>
          <a:xfrm>
            <a:off x="4792689" y="5615994"/>
            <a:ext cx="4585193" cy="417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baseline="0">
                <a:solidFill>
                  <a:sysClr val="windowText" lastClr="000000"/>
                </a:solidFill>
                <a:latin typeface="+mn-lt"/>
                <a:ea typeface="メイリオ" panose="020B0604030504040204" pitchFamily="50" charset="-128"/>
              </a:rPr>
              <a:t>Ⅴ.</a:t>
            </a:r>
            <a:r>
              <a:rPr kumimoji="1" lang="ja-JP" altLang="en-US" sz="900" b="1" baseline="0">
                <a:solidFill>
                  <a:sysClr val="windowText" lastClr="000000"/>
                </a:solidFill>
                <a:latin typeface="+mn-lt"/>
                <a:ea typeface="メイリオ" panose="020B0604030504040204" pitchFamily="50" charset="-128"/>
              </a:rPr>
              <a:t> 注記事項　</a:t>
            </a:r>
            <a:r>
              <a:rPr kumimoji="1" lang="en-US" altLang="ja-JP" sz="800" b="0" baseline="0">
                <a:solidFill>
                  <a:sysClr val="windowText" lastClr="000000"/>
                </a:solidFill>
                <a:latin typeface="+mn-lt"/>
                <a:ea typeface="メイリオ" panose="020B0604030504040204" pitchFamily="50" charset="-128"/>
              </a:rPr>
              <a:t>Notes</a:t>
            </a:r>
            <a:r>
              <a:rPr kumimoji="1" lang="ja-JP" altLang="en-US" sz="800" baseline="0">
                <a:solidFill>
                  <a:sysClr val="windowText" lastClr="000000"/>
                </a:solidFill>
                <a:latin typeface="+mn-lt"/>
                <a:ea typeface="メイリオ" panose="020B0604030504040204" pitchFamily="50" charset="-128"/>
              </a:rPr>
              <a:t> </a:t>
            </a:r>
            <a:r>
              <a:rPr kumimoji="1" lang="en-US" altLang="ja-JP" sz="700" baseline="0">
                <a:solidFill>
                  <a:sysClr val="windowText" lastClr="000000"/>
                </a:solidFill>
                <a:latin typeface="+mn-lt"/>
                <a:ea typeface="メイリオ" panose="020B0604030504040204" pitchFamily="50" charset="-128"/>
              </a:rPr>
              <a:t>….………………………………………………....................................24</a:t>
            </a:r>
            <a:endParaRPr kumimoji="1" lang="ja-JP" altLang="en-US" sz="700" baseline="0">
              <a:solidFill>
                <a:sysClr val="windowText" lastClr="000000"/>
              </a:solidFill>
              <a:latin typeface="+mn-lt"/>
              <a:ea typeface="メイリオ" panose="020B0604030504040204" pitchFamily="50" charset="-128"/>
            </a:endParaRPr>
          </a:p>
        </xdr:txBody>
      </xdr:sp>
      <xdr:cxnSp macro="">
        <xdr:nvCxnSpPr>
          <xdr:cNvPr id="35" name="直線コネクタ 34">
            <a:extLst>
              <a:ext uri="{FF2B5EF4-FFF2-40B4-BE49-F238E27FC236}">
                <a16:creationId xmlns:a16="http://schemas.microsoft.com/office/drawing/2014/main" id="{00000000-0008-0000-0200-000021000000}"/>
              </a:ext>
            </a:extLst>
          </xdr:cNvPr>
          <xdr:cNvCxnSpPr/>
        </xdr:nvCxnSpPr>
        <xdr:spPr bwMode="auto">
          <a:xfrm>
            <a:off x="4870784" y="5855139"/>
            <a:ext cx="4078458" cy="962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685960</xdr:colOff>
      <xdr:row>12</xdr:row>
      <xdr:rowOff>89648</xdr:rowOff>
    </xdr:from>
    <xdr:to>
      <xdr:col>15</xdr:col>
      <xdr:colOff>217815</xdr:colOff>
      <xdr:row>28</xdr:row>
      <xdr:rowOff>135871</xdr:rowOff>
    </xdr:to>
    <xdr:graphicFrame macro="">
      <xdr:nvGraphicFramePr>
        <xdr:cNvPr id="216373" name="グラフ 41">
          <a:extLst>
            <a:ext uri="{FF2B5EF4-FFF2-40B4-BE49-F238E27FC236}">
              <a16:creationId xmlns:a16="http://schemas.microsoft.com/office/drawing/2014/main" id="{00000000-0008-0000-1000-0000354D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308881</xdr:colOff>
      <xdr:row>12</xdr:row>
      <xdr:rowOff>8574</xdr:rowOff>
    </xdr:from>
    <xdr:to>
      <xdr:col>1</xdr:col>
      <xdr:colOff>1430450</xdr:colOff>
      <xdr:row>14</xdr:row>
      <xdr:rowOff>16703</xdr:rowOff>
    </xdr:to>
    <xdr:sp macro="" textlink="">
      <xdr:nvSpPr>
        <xdr:cNvPr id="216110" name="Text Box 46">
          <a:extLst>
            <a:ext uri="{FF2B5EF4-FFF2-40B4-BE49-F238E27FC236}">
              <a16:creationId xmlns:a16="http://schemas.microsoft.com/office/drawing/2014/main" id="{00000000-0008-0000-1000-00002E4C0300}"/>
            </a:ext>
          </a:extLst>
        </xdr:cNvPr>
        <xdr:cNvSpPr txBox="1">
          <a:spLocks noChangeArrowheads="1"/>
        </xdr:cNvSpPr>
      </xdr:nvSpPr>
      <xdr:spPr bwMode="auto">
        <a:xfrm>
          <a:off x="308881" y="3437574"/>
          <a:ext cx="1849951" cy="3667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800" b="0" i="0" u="none" strike="noStrike" baseline="0">
              <a:solidFill>
                <a:srgbClr val="000000"/>
              </a:solidFill>
              <a:latin typeface="メイリオ" panose="020B0604030504040204" pitchFamily="50" charset="-128"/>
              <a:ea typeface="メイリオ" panose="020B0604030504040204" pitchFamily="50" charset="-128"/>
            </a:rPr>
            <a:t>台　</a:t>
          </a:r>
          <a:r>
            <a:rPr lang="en-US" altLang="ja-JP" sz="800" b="0" i="0" u="none" strike="noStrike" baseline="0">
              <a:solidFill>
                <a:srgbClr val="000000"/>
              </a:solidFill>
              <a:latin typeface="+mj-lt"/>
              <a:ea typeface="メイリオ" panose="020B0604030504040204" pitchFamily="50" charset="-128"/>
            </a:rPr>
            <a:t>No. of Vehicles</a:t>
          </a: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1</xdr:col>
      <xdr:colOff>62934</xdr:colOff>
      <xdr:row>24</xdr:row>
      <xdr:rowOff>139134</xdr:rowOff>
    </xdr:from>
    <xdr:to>
      <xdr:col>12</xdr:col>
      <xdr:colOff>421823</xdr:colOff>
      <xdr:row>36</xdr:row>
      <xdr:rowOff>0</xdr:rowOff>
    </xdr:to>
    <xdr:graphicFrame macro="">
      <xdr:nvGraphicFramePr>
        <xdr:cNvPr id="216375" name="グラフ 53">
          <a:extLst>
            <a:ext uri="{FF2B5EF4-FFF2-40B4-BE49-F238E27FC236}">
              <a16:creationId xmlns:a16="http://schemas.microsoft.com/office/drawing/2014/main" id="{00000000-0008-0000-1000-0000374D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430606</xdr:colOff>
      <xdr:row>12</xdr:row>
      <xdr:rowOff>95191</xdr:rowOff>
    </xdr:from>
    <xdr:to>
      <xdr:col>12</xdr:col>
      <xdr:colOff>253713</xdr:colOff>
      <xdr:row>13</xdr:row>
      <xdr:rowOff>195838</xdr:rowOff>
    </xdr:to>
    <xdr:sp macro="" textlink="">
      <xdr:nvSpPr>
        <xdr:cNvPr id="216149" name="Text Box 85">
          <a:extLst>
            <a:ext uri="{FF2B5EF4-FFF2-40B4-BE49-F238E27FC236}">
              <a16:creationId xmlns:a16="http://schemas.microsoft.com/office/drawing/2014/main" id="{00000000-0008-0000-1000-0000554C0300}"/>
            </a:ext>
          </a:extLst>
        </xdr:cNvPr>
        <xdr:cNvSpPr txBox="1">
          <a:spLocks noChangeArrowheads="1"/>
        </xdr:cNvSpPr>
      </xdr:nvSpPr>
      <xdr:spPr bwMode="auto">
        <a:xfrm>
          <a:off x="9014312" y="3524191"/>
          <a:ext cx="484254" cy="2575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800" b="0" i="0" u="none" strike="noStrike" baseline="0">
              <a:solidFill>
                <a:srgbClr val="000000"/>
              </a:solidFill>
              <a:latin typeface="メイリオ" panose="020B0604030504040204" pitchFamily="50" charset="-128"/>
              <a:ea typeface="メイリオ" panose="020B0604030504040204" pitchFamily="50" charset="-128"/>
            </a:rPr>
            <a:t>％</a:t>
          </a: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0</xdr:col>
      <xdr:colOff>714375</xdr:colOff>
      <xdr:row>10</xdr:row>
      <xdr:rowOff>50425</xdr:rowOff>
    </xdr:from>
    <xdr:to>
      <xdr:col>9</xdr:col>
      <xdr:colOff>60356</xdr:colOff>
      <xdr:row>12</xdr:row>
      <xdr:rowOff>117702</xdr:rowOff>
    </xdr:to>
    <xdr:sp macro="" textlink="">
      <xdr:nvSpPr>
        <xdr:cNvPr id="13" name="Text Box 46">
          <a:extLst>
            <a:ext uri="{FF2B5EF4-FFF2-40B4-BE49-F238E27FC236}">
              <a16:creationId xmlns:a16="http://schemas.microsoft.com/office/drawing/2014/main" id="{00000000-0008-0000-1000-00000D000000}"/>
            </a:ext>
          </a:extLst>
        </xdr:cNvPr>
        <xdr:cNvSpPr txBox="1">
          <a:spLocks noChangeArrowheads="1"/>
        </xdr:cNvSpPr>
      </xdr:nvSpPr>
      <xdr:spPr bwMode="auto">
        <a:xfrm>
          <a:off x="714375" y="3165660"/>
          <a:ext cx="6607393" cy="38104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900" b="1" i="0" u="none" strike="noStrike" baseline="0">
              <a:solidFill>
                <a:srgbClr val="000000"/>
              </a:solidFill>
              <a:latin typeface="メイリオ" panose="020B0604030504040204" pitchFamily="50" charset="-128"/>
              <a:ea typeface="メイリオ" panose="020B0604030504040204" pitchFamily="50" charset="-128"/>
            </a:rPr>
            <a:t>低額車オークション実績（</a:t>
          </a:r>
          <a:r>
            <a:rPr lang="en-US" altLang="ja-JP" sz="900" b="1" i="0" u="none" strike="noStrike" baseline="0">
              <a:solidFill>
                <a:srgbClr val="000000"/>
              </a:solidFill>
              <a:latin typeface="メイリオ" panose="020B0604030504040204" pitchFamily="50" charset="-128"/>
              <a:ea typeface="メイリオ" panose="020B0604030504040204" pitchFamily="50" charset="-128"/>
            </a:rPr>
            <a:t>JBA</a:t>
          </a:r>
          <a:r>
            <a:rPr lang="ja-JP" altLang="en-US" sz="900" b="1" i="0" u="none" strike="noStrike" baseline="0">
              <a:solidFill>
                <a:srgbClr val="000000"/>
              </a:solidFill>
              <a:latin typeface="メイリオ" panose="020B0604030504040204" pitchFamily="50" charset="-128"/>
              <a:ea typeface="メイリオ" panose="020B0604030504040204" pitchFamily="50" charset="-128"/>
            </a:rPr>
            <a:t>除く）　</a:t>
          </a:r>
          <a:r>
            <a:rPr lang="en-US" altLang="ja-JP" sz="800" b="0" i="0" u="none" strike="noStrike" baseline="0">
              <a:solidFill>
                <a:srgbClr val="000000"/>
              </a:solidFill>
              <a:latin typeface="+mj-lt"/>
              <a:ea typeface="メイリオ" panose="020B0604030504040204" pitchFamily="50" charset="-128"/>
            </a:rPr>
            <a:t>Lower-priced vehicles Auction Results (excl. JBA)</a:t>
          </a:r>
        </a:p>
      </xdr:txBody>
    </xdr:sp>
    <xdr:clientData/>
  </xdr:twoCellAnchor>
  <xdr:twoCellAnchor>
    <xdr:from>
      <xdr:col>0</xdr:col>
      <xdr:colOff>700768</xdr:colOff>
      <xdr:row>22</xdr:row>
      <xdr:rowOff>185696</xdr:rowOff>
    </xdr:from>
    <xdr:to>
      <xdr:col>12</xdr:col>
      <xdr:colOff>403112</xdr:colOff>
      <xdr:row>24</xdr:row>
      <xdr:rowOff>187139</xdr:rowOff>
    </xdr:to>
    <xdr:sp macro="" textlink="">
      <xdr:nvSpPr>
        <xdr:cNvPr id="14" name="Text Box 46">
          <a:extLst>
            <a:ext uri="{FF2B5EF4-FFF2-40B4-BE49-F238E27FC236}">
              <a16:creationId xmlns:a16="http://schemas.microsoft.com/office/drawing/2014/main" id="{00000000-0008-0000-1000-00000E000000}"/>
            </a:ext>
          </a:extLst>
        </xdr:cNvPr>
        <xdr:cNvSpPr txBox="1">
          <a:spLocks noChangeArrowheads="1"/>
        </xdr:cNvSpPr>
      </xdr:nvSpPr>
      <xdr:spPr bwMode="auto">
        <a:xfrm>
          <a:off x="700768" y="5586931"/>
          <a:ext cx="8947197" cy="4048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900" b="1" i="0" u="none" strike="noStrike" baseline="0">
              <a:solidFill>
                <a:srgbClr val="000000"/>
              </a:solidFill>
              <a:latin typeface="メイリオ" panose="020B0604030504040204" pitchFamily="50" charset="-128"/>
              <a:ea typeface="メイリオ" panose="020B0604030504040204" pitchFamily="50" charset="-128"/>
            </a:rPr>
            <a:t>総出品台数に占める低額車割合（</a:t>
          </a:r>
          <a:r>
            <a:rPr lang="en-US" altLang="ja-JP" sz="900" b="1" i="0" u="none" strike="noStrike" baseline="0">
              <a:solidFill>
                <a:srgbClr val="000000"/>
              </a:solidFill>
              <a:latin typeface="メイリオ" panose="020B0604030504040204" pitchFamily="50" charset="-128"/>
              <a:ea typeface="メイリオ" panose="020B0604030504040204" pitchFamily="50" charset="-128"/>
            </a:rPr>
            <a:t>JBA</a:t>
          </a:r>
          <a:r>
            <a:rPr lang="ja-JP" altLang="en-US" sz="900" b="1" i="0" u="none" strike="noStrike" baseline="0">
              <a:solidFill>
                <a:srgbClr val="000000"/>
              </a:solidFill>
              <a:latin typeface="メイリオ" panose="020B0604030504040204" pitchFamily="50" charset="-128"/>
              <a:ea typeface="メイリオ" panose="020B0604030504040204" pitchFamily="50" charset="-128"/>
            </a:rPr>
            <a:t>除く）　</a:t>
          </a:r>
          <a:r>
            <a:rPr lang="en-US" altLang="ja-JP" sz="800" b="0" i="0" u="none" strike="noStrike" baseline="0">
              <a:solidFill>
                <a:srgbClr val="000000"/>
              </a:solidFill>
              <a:latin typeface="+mj-lt"/>
              <a:ea typeface="メイリオ" panose="020B0604030504040204" pitchFamily="50" charset="-128"/>
            </a:rPr>
            <a:t>Rate of Lower-priced vehicles Consignments in Total Consignments (excl. JBA)</a:t>
          </a:r>
        </a:p>
      </xdr:txBody>
    </xdr:sp>
    <xdr:clientData/>
  </xdr:twoCellAnchor>
  <xdr:twoCellAnchor>
    <xdr:from>
      <xdr:col>0</xdr:col>
      <xdr:colOff>535781</xdr:colOff>
      <xdr:row>0</xdr:row>
      <xdr:rowOff>619125</xdr:rowOff>
    </xdr:from>
    <xdr:to>
      <xdr:col>14</xdr:col>
      <xdr:colOff>119063</xdr:colOff>
      <xdr:row>3</xdr:row>
      <xdr:rowOff>54792</xdr:rowOff>
    </xdr:to>
    <xdr:sp macro="" textlink="">
      <xdr:nvSpPr>
        <xdr:cNvPr id="15" name="テキスト ボックス 14">
          <a:extLst>
            <a:ext uri="{FF2B5EF4-FFF2-40B4-BE49-F238E27FC236}">
              <a16:creationId xmlns:a16="http://schemas.microsoft.com/office/drawing/2014/main" id="{00000000-0008-0000-1000-00000F000000}"/>
            </a:ext>
          </a:extLst>
        </xdr:cNvPr>
        <xdr:cNvSpPr txBox="1"/>
      </xdr:nvSpPr>
      <xdr:spPr>
        <a:xfrm>
          <a:off x="535781" y="619125"/>
          <a:ext cx="9929813" cy="435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（４）オートオークション － 低額車推移（</a:t>
          </a:r>
          <a:r>
            <a:rPr kumimoji="1" lang="en-US" altLang="ja-JP" sz="1200" b="1">
              <a:latin typeface="メイリオ" panose="020B0604030504040204" pitchFamily="50" charset="-128"/>
              <a:ea typeface="メイリオ" panose="020B0604030504040204" pitchFamily="50" charset="-128"/>
            </a:rPr>
            <a:t>JBA</a:t>
          </a:r>
          <a:r>
            <a:rPr kumimoji="1" lang="ja-JP" altLang="en-US" sz="1200" b="1">
              <a:latin typeface="メイリオ" panose="020B0604030504040204" pitchFamily="50" charset="-128"/>
              <a:ea typeface="メイリオ" panose="020B0604030504040204" pitchFamily="50" charset="-128"/>
            </a:rPr>
            <a:t>除く）　</a:t>
          </a:r>
          <a:r>
            <a:rPr kumimoji="1" lang="en-US" altLang="ja-JP" sz="1050" b="0">
              <a:latin typeface="+mj-lt"/>
              <a:ea typeface="メイリオ" panose="020B0604030504040204" pitchFamily="50" charset="-128"/>
            </a:rPr>
            <a:t>Auto Auction Business - Lower-priced vehicles Auction (excl. JBA)</a:t>
          </a:r>
          <a:endParaRPr kumimoji="1" lang="ja-JP" altLang="en-US" sz="1100" b="0">
            <a:latin typeface="+mj-lt"/>
            <a:ea typeface="メイリオ" panose="020B0604030504040204" pitchFamily="50" charset="-128"/>
          </a:endParaRPr>
        </a:p>
      </xdr:txBody>
    </xdr:sp>
    <xdr:clientData/>
  </xdr:twoCellAnchor>
  <xdr:twoCellAnchor>
    <xdr:from>
      <xdr:col>13</xdr:col>
      <xdr:colOff>81642</xdr:colOff>
      <xdr:row>1</xdr:row>
      <xdr:rowOff>0</xdr:rowOff>
    </xdr:from>
    <xdr:to>
      <xdr:col>15</xdr:col>
      <xdr:colOff>49891</xdr:colOff>
      <xdr:row>2</xdr:row>
      <xdr:rowOff>131534</xdr:rowOff>
    </xdr:to>
    <xdr:sp macro="" textlink="">
      <xdr:nvSpPr>
        <xdr:cNvPr id="17" name="テキスト ボックス 16">
          <a:extLst>
            <a:ext uri="{FF2B5EF4-FFF2-40B4-BE49-F238E27FC236}">
              <a16:creationId xmlns:a16="http://schemas.microsoft.com/office/drawing/2014/main" id="{00000000-0008-0000-1000-000011000000}"/>
            </a:ext>
          </a:extLst>
        </xdr:cNvPr>
        <xdr:cNvSpPr txBox="1"/>
      </xdr:nvSpPr>
      <xdr:spPr>
        <a:xfrm>
          <a:off x="9892392" y="666750"/>
          <a:ext cx="1274535" cy="322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900" b="1">
              <a:solidFill>
                <a:srgbClr val="BDC3C4"/>
              </a:solidFill>
              <a:latin typeface="メイリオ" panose="020B0604030504040204" pitchFamily="50" charset="-128"/>
              <a:ea typeface="メイリオ" panose="020B0604030504040204" pitchFamily="50" charset="-128"/>
            </a:rPr>
            <a:t>Ⅲ-1.</a:t>
          </a:r>
          <a:r>
            <a:rPr kumimoji="1" lang="ja-JP" altLang="en-US" sz="900" b="1">
              <a:solidFill>
                <a:srgbClr val="BDC3C4"/>
              </a:solidFill>
              <a:latin typeface="メイリオ" panose="020B0604030504040204" pitchFamily="50" charset="-128"/>
              <a:ea typeface="メイリオ" panose="020B0604030504040204" pitchFamily="50" charset="-128"/>
            </a:rPr>
            <a:t>セグメント</a:t>
          </a:r>
        </a:p>
      </xdr:txBody>
    </xdr:sp>
    <xdr:clientData/>
  </xdr:twoCellAnchor>
</xdr:wsDr>
</file>

<file path=xl/drawings/drawing21.xml><?xml version="1.0" encoding="utf-8"?>
<c:userShapes xmlns:c="http://schemas.openxmlformats.org/drawingml/2006/chart">
  <cdr:relSizeAnchor xmlns:cdr="http://schemas.openxmlformats.org/drawingml/2006/chartDrawing">
    <cdr:from>
      <cdr:x>0.76975</cdr:x>
      <cdr:y>0.80629</cdr:y>
    </cdr:from>
    <cdr:to>
      <cdr:x>0.76975</cdr:x>
      <cdr:y>0.80629</cdr:y>
    </cdr:to>
    <cdr:sp macro="" textlink="">
      <cdr:nvSpPr>
        <cdr:cNvPr id="271365" name="Text Box 5"/>
        <cdr:cNvSpPr txBox="1">
          <a:spLocks xmlns:a="http://schemas.openxmlformats.org/drawingml/2006/main" noChangeArrowheads="1"/>
        </cdr:cNvSpPr>
      </cdr:nvSpPr>
      <cdr:spPr bwMode="auto">
        <a:xfrm xmlns:a="http://schemas.openxmlformats.org/drawingml/2006/main">
          <a:off x="8002246" y="2255977"/>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000" b="0" i="0" u="none" strike="noStrike" baseline="0">
              <a:solidFill>
                <a:srgbClr val="000000"/>
              </a:solidFill>
              <a:latin typeface="ＭＳ Ｐゴシック"/>
              <a:ea typeface="ＭＳ Ｐゴシック"/>
            </a:rPr>
            <a:t>（期）</a:t>
          </a:r>
        </a:p>
      </cdr:txBody>
    </cdr:sp>
  </cdr:relSizeAnchor>
  <cdr:relSizeAnchor xmlns:cdr="http://schemas.openxmlformats.org/drawingml/2006/chartDrawing">
    <cdr:from>
      <cdr:x>0.77598</cdr:x>
      <cdr:y>0.58813</cdr:y>
    </cdr:from>
    <cdr:to>
      <cdr:x>0.84508</cdr:x>
      <cdr:y>0.66507</cdr:y>
    </cdr:to>
    <cdr:sp macro="" textlink="">
      <cdr:nvSpPr>
        <cdr:cNvPr id="271366" name="Text Box 6"/>
        <cdr:cNvSpPr txBox="1">
          <a:spLocks xmlns:a="http://schemas.openxmlformats.org/drawingml/2006/main" noChangeArrowheads="1"/>
        </cdr:cNvSpPr>
      </cdr:nvSpPr>
      <cdr:spPr bwMode="auto">
        <a:xfrm xmlns:a="http://schemas.openxmlformats.org/drawingml/2006/main">
          <a:off x="8108195" y="1345467"/>
          <a:ext cx="722021" cy="17601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800" b="0" i="0" u="none" strike="noStrike" baseline="0">
              <a:solidFill>
                <a:srgbClr val="000000"/>
              </a:solidFill>
              <a:latin typeface="メイリオ" panose="020B0604030504040204" pitchFamily="50" charset="-128"/>
              <a:ea typeface="メイリオ" panose="020B0604030504040204" pitchFamily="50" charset="-128"/>
            </a:rPr>
            <a:t>期　</a:t>
          </a:r>
          <a:r>
            <a:rPr lang="en-US" altLang="ja-JP" sz="800" b="0" i="0" u="none" strike="noStrike" baseline="0">
              <a:solidFill>
                <a:srgbClr val="000000"/>
              </a:solidFill>
              <a:latin typeface="+mj-lt"/>
              <a:ea typeface="メイリオ" panose="020B0604030504040204" pitchFamily="50" charset="-128"/>
            </a:rPr>
            <a:t>FY</a:t>
          </a: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p>
      </cdr:txBody>
    </cdr:sp>
  </cdr:relSizeAnchor>
</c:userShapes>
</file>

<file path=xl/drawings/drawing22.xml><?xml version="1.0" encoding="utf-8"?>
<c:userShapes xmlns:c="http://schemas.openxmlformats.org/drawingml/2006/chart">
  <cdr:relSizeAnchor xmlns:cdr="http://schemas.openxmlformats.org/drawingml/2006/chartDrawing">
    <cdr:from>
      <cdr:x>0.92446</cdr:x>
      <cdr:y>0.8291</cdr:y>
    </cdr:from>
    <cdr:to>
      <cdr:x>1</cdr:x>
      <cdr:y>0.92893</cdr:y>
    </cdr:to>
    <cdr:sp macro="" textlink="">
      <cdr:nvSpPr>
        <cdr:cNvPr id="422920" name="Text Box 8"/>
        <cdr:cNvSpPr txBox="1">
          <a:spLocks xmlns:a="http://schemas.openxmlformats.org/drawingml/2006/main" noChangeArrowheads="1"/>
        </cdr:cNvSpPr>
      </cdr:nvSpPr>
      <cdr:spPr bwMode="auto">
        <a:xfrm xmlns:a="http://schemas.openxmlformats.org/drawingml/2006/main">
          <a:off x="8204915" y="1696353"/>
          <a:ext cx="670445" cy="20425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800" b="0" i="0" u="none" strike="noStrike" baseline="0">
              <a:solidFill>
                <a:srgbClr val="000000"/>
              </a:solidFill>
              <a:latin typeface="メイリオ" panose="020B0604030504040204" pitchFamily="50" charset="-128"/>
              <a:ea typeface="メイリオ" panose="020B0604030504040204" pitchFamily="50" charset="-128"/>
            </a:rPr>
            <a:t>期　</a:t>
          </a:r>
          <a:r>
            <a:rPr lang="en-US" altLang="ja-JP" sz="800" b="0" i="0" u="none" strike="noStrike" baseline="0">
              <a:solidFill>
                <a:srgbClr val="000000"/>
              </a:solidFill>
              <a:latin typeface="+mj-lt"/>
              <a:ea typeface="メイリオ" panose="020B0604030504040204" pitchFamily="50" charset="-128"/>
            </a:rPr>
            <a:t>FY</a:t>
          </a: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p>
      </cdr:txBody>
    </cdr:sp>
  </cdr:relSizeAnchor>
  <cdr:relSizeAnchor xmlns:cdr="http://schemas.openxmlformats.org/drawingml/2006/chartDrawing">
    <cdr:from>
      <cdr:x>0.023</cdr:x>
      <cdr:y>0</cdr:y>
    </cdr:from>
    <cdr:to>
      <cdr:x>0.06248</cdr:x>
      <cdr:y>0.11647</cdr:y>
    </cdr:to>
    <cdr:sp macro="" textlink="">
      <cdr:nvSpPr>
        <cdr:cNvPr id="422921" name="Text Box 9"/>
        <cdr:cNvSpPr txBox="1">
          <a:spLocks xmlns:a="http://schemas.openxmlformats.org/drawingml/2006/main" noChangeArrowheads="1"/>
        </cdr:cNvSpPr>
      </cdr:nvSpPr>
      <cdr:spPr bwMode="auto">
        <a:xfrm xmlns:a="http://schemas.openxmlformats.org/drawingml/2006/main">
          <a:off x="204156" y="0"/>
          <a:ext cx="350400" cy="23829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l" rtl="0">
            <a:defRPr sz="1000"/>
          </a:pP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800" b="0" i="0" u="none" strike="noStrike" baseline="0">
              <a:solidFill>
                <a:srgbClr val="000000"/>
              </a:solidFill>
              <a:latin typeface="メイリオ" panose="020B0604030504040204" pitchFamily="50" charset="-128"/>
              <a:ea typeface="メイリオ" panose="020B0604030504040204" pitchFamily="50" charset="-128"/>
            </a:rPr>
            <a:t>％</a:t>
          </a: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p>
      </cdr:txBody>
    </cdr:sp>
  </cdr:relSizeAnchor>
</c:userShapes>
</file>

<file path=xl/drawings/drawing23.xml><?xml version="1.0" encoding="utf-8"?>
<xdr:wsDr xmlns:xdr="http://schemas.openxmlformats.org/drawingml/2006/spreadsheetDrawing" xmlns:a="http://schemas.openxmlformats.org/drawingml/2006/main">
  <xdr:twoCellAnchor>
    <xdr:from>
      <xdr:col>8</xdr:col>
      <xdr:colOff>314325</xdr:colOff>
      <xdr:row>26</xdr:row>
      <xdr:rowOff>133351</xdr:rowOff>
    </xdr:from>
    <xdr:to>
      <xdr:col>17</xdr:col>
      <xdr:colOff>704850</xdr:colOff>
      <xdr:row>30</xdr:row>
      <xdr:rowOff>47625</xdr:rowOff>
    </xdr:to>
    <xdr:sp macro="" textlink="">
      <xdr:nvSpPr>
        <xdr:cNvPr id="18" name="Text Box 46">
          <a:extLst>
            <a:ext uri="{FF2B5EF4-FFF2-40B4-BE49-F238E27FC236}">
              <a16:creationId xmlns:a16="http://schemas.microsoft.com/office/drawing/2014/main" id="{00000000-0008-0000-1100-000012000000}"/>
            </a:ext>
          </a:extLst>
        </xdr:cNvPr>
        <xdr:cNvSpPr txBox="1">
          <a:spLocks noChangeArrowheads="1"/>
        </xdr:cNvSpPr>
      </xdr:nvSpPr>
      <xdr:spPr bwMode="auto">
        <a:xfrm>
          <a:off x="6048375" y="5715001"/>
          <a:ext cx="5619750" cy="523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900" b="1" i="0" u="none" strike="noStrike" baseline="0">
              <a:solidFill>
                <a:srgbClr val="000000"/>
              </a:solidFill>
              <a:latin typeface="メイリオ" panose="020B0604030504040204" pitchFamily="50" charset="-128"/>
              <a:ea typeface="メイリオ" panose="020B0604030504040204" pitchFamily="50" charset="-128"/>
            </a:rPr>
            <a:t>外部落札台数および外部落札比率（</a:t>
          </a:r>
          <a:r>
            <a:rPr lang="en-US" altLang="ja-JP" sz="900" b="1" i="0" u="none" strike="noStrike" baseline="0">
              <a:solidFill>
                <a:srgbClr val="000000"/>
              </a:solidFill>
              <a:latin typeface="メイリオ" panose="020B0604030504040204" pitchFamily="50" charset="-128"/>
              <a:ea typeface="メイリオ" panose="020B0604030504040204" pitchFamily="50" charset="-128"/>
            </a:rPr>
            <a:t>JBA</a:t>
          </a:r>
          <a:r>
            <a:rPr lang="ja-JP" altLang="en-US" sz="900" b="1" i="0" u="none" strike="noStrike" baseline="0">
              <a:solidFill>
                <a:srgbClr val="000000"/>
              </a:solidFill>
              <a:latin typeface="メイリオ" panose="020B0604030504040204" pitchFamily="50" charset="-128"/>
              <a:ea typeface="メイリオ" panose="020B0604030504040204" pitchFamily="50" charset="-128"/>
            </a:rPr>
            <a:t>除く）</a:t>
          </a:r>
          <a:r>
            <a:rPr lang="en-US" altLang="ja-JP" sz="800" b="0" i="0" u="none" strike="noStrike" baseline="0">
              <a:solidFill>
                <a:srgbClr val="000000"/>
              </a:solidFill>
              <a:latin typeface="+mj-lt"/>
              <a:ea typeface="メイリオ" panose="020B0604030504040204" pitchFamily="50" charset="-128"/>
            </a:rPr>
            <a:t>Number/Ratio of Successful Off-site Bids (excl. JBA)</a:t>
          </a:r>
        </a:p>
      </xdr:txBody>
    </xdr:sp>
    <xdr:clientData/>
  </xdr:twoCellAnchor>
  <xdr:twoCellAnchor>
    <xdr:from>
      <xdr:col>0</xdr:col>
      <xdr:colOff>563618</xdr:colOff>
      <xdr:row>29</xdr:row>
      <xdr:rowOff>154780</xdr:rowOff>
    </xdr:from>
    <xdr:to>
      <xdr:col>7</xdr:col>
      <xdr:colOff>589699</xdr:colOff>
      <xdr:row>45</xdr:row>
      <xdr:rowOff>178593</xdr:rowOff>
    </xdr:to>
    <xdr:graphicFrame macro="">
      <xdr:nvGraphicFramePr>
        <xdr:cNvPr id="698694" name="グラフ 4">
          <a:extLst>
            <a:ext uri="{FF2B5EF4-FFF2-40B4-BE49-F238E27FC236}">
              <a16:creationId xmlns:a16="http://schemas.microsoft.com/office/drawing/2014/main" id="{00000000-0008-0000-1100-000046A9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696046</xdr:colOff>
      <xdr:row>30</xdr:row>
      <xdr:rowOff>120220</xdr:rowOff>
    </xdr:from>
    <xdr:to>
      <xdr:col>3</xdr:col>
      <xdr:colOff>238846</xdr:colOff>
      <xdr:row>31</xdr:row>
      <xdr:rowOff>67263</xdr:rowOff>
    </xdr:to>
    <xdr:sp macro="" textlink="">
      <xdr:nvSpPr>
        <xdr:cNvPr id="698376" name="Text Box 8">
          <a:extLst>
            <a:ext uri="{FF2B5EF4-FFF2-40B4-BE49-F238E27FC236}">
              <a16:creationId xmlns:a16="http://schemas.microsoft.com/office/drawing/2014/main" id="{00000000-0008-0000-1100-000008A80A00}"/>
            </a:ext>
          </a:extLst>
        </xdr:cNvPr>
        <xdr:cNvSpPr txBox="1">
          <a:spLocks noChangeArrowheads="1"/>
        </xdr:cNvSpPr>
      </xdr:nvSpPr>
      <xdr:spPr bwMode="auto">
        <a:xfrm>
          <a:off x="696046" y="6765308"/>
          <a:ext cx="1896035" cy="1039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600" b="0" i="0" u="none" strike="noStrike" baseline="0">
              <a:solidFill>
                <a:srgbClr val="000000"/>
              </a:solidFill>
              <a:latin typeface="メイリオ" panose="020B0604030504040204" pitchFamily="50" charset="-128"/>
              <a:ea typeface="メイリオ" panose="020B0604030504040204" pitchFamily="50" charset="-128"/>
            </a:rPr>
            <a:t>社　</a:t>
          </a:r>
          <a:r>
            <a:rPr lang="en-US" altLang="ja-JP" sz="600" b="0" i="0" u="none" strike="noStrike" baseline="0">
              <a:solidFill>
                <a:srgbClr val="000000"/>
              </a:solidFill>
              <a:latin typeface="+mj-lt"/>
              <a:ea typeface="メイリオ" panose="020B0604030504040204" pitchFamily="50" charset="-128"/>
            </a:rPr>
            <a:t>No. of  Companies</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7</xdr:col>
      <xdr:colOff>153200</xdr:colOff>
      <xdr:row>39</xdr:row>
      <xdr:rowOff>107608</xdr:rowOff>
    </xdr:from>
    <xdr:to>
      <xdr:col>8</xdr:col>
      <xdr:colOff>172250</xdr:colOff>
      <xdr:row>39</xdr:row>
      <xdr:rowOff>347321</xdr:rowOff>
    </xdr:to>
    <xdr:sp macro="" textlink="">
      <xdr:nvSpPr>
        <xdr:cNvPr id="698381" name="Text Box 13">
          <a:extLst>
            <a:ext uri="{FF2B5EF4-FFF2-40B4-BE49-F238E27FC236}">
              <a16:creationId xmlns:a16="http://schemas.microsoft.com/office/drawing/2014/main" id="{00000000-0008-0000-1100-00000DA80A00}"/>
            </a:ext>
          </a:extLst>
        </xdr:cNvPr>
        <xdr:cNvSpPr txBox="1">
          <a:spLocks noChangeArrowheads="1"/>
        </xdr:cNvSpPr>
      </xdr:nvSpPr>
      <xdr:spPr bwMode="auto">
        <a:xfrm>
          <a:off x="5451481" y="8561046"/>
          <a:ext cx="614363" cy="239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メイリオ" panose="020B0604030504040204" pitchFamily="50" charset="-128"/>
              <a:ea typeface="メイリオ" panose="020B0604030504040204" pitchFamily="50" charset="-128"/>
            </a:rPr>
            <a:t>（期　</a:t>
          </a:r>
          <a:r>
            <a:rPr lang="en-US" altLang="ja-JP" sz="600" b="0" i="0" u="none" strike="noStrike" baseline="0">
              <a:solidFill>
                <a:srgbClr val="000000"/>
              </a:solidFill>
              <a:latin typeface="+mj-lt"/>
              <a:ea typeface="メイリオ" panose="020B0604030504040204" pitchFamily="50" charset="-128"/>
            </a:rPr>
            <a:t>FY</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8</xdr:col>
      <xdr:colOff>114891</xdr:colOff>
      <xdr:row>30</xdr:row>
      <xdr:rowOff>4534</xdr:rowOff>
    </xdr:from>
    <xdr:to>
      <xdr:col>17</xdr:col>
      <xdr:colOff>304800</xdr:colOff>
      <xdr:row>47</xdr:row>
      <xdr:rowOff>4535</xdr:rowOff>
    </xdr:to>
    <xdr:graphicFrame macro="">
      <xdr:nvGraphicFramePr>
        <xdr:cNvPr id="698700" name="グラフ 15">
          <a:extLst>
            <a:ext uri="{FF2B5EF4-FFF2-40B4-BE49-F238E27FC236}">
              <a16:creationId xmlns:a16="http://schemas.microsoft.com/office/drawing/2014/main" id="{00000000-0008-0000-1100-00004CA9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301836</xdr:colOff>
      <xdr:row>30</xdr:row>
      <xdr:rowOff>25364</xdr:rowOff>
    </xdr:from>
    <xdr:to>
      <xdr:col>10</xdr:col>
      <xdr:colOff>435186</xdr:colOff>
      <xdr:row>31</xdr:row>
      <xdr:rowOff>136943</xdr:rowOff>
    </xdr:to>
    <xdr:sp macro="" textlink="">
      <xdr:nvSpPr>
        <xdr:cNvPr id="698377" name="Text Box 9">
          <a:extLst>
            <a:ext uri="{FF2B5EF4-FFF2-40B4-BE49-F238E27FC236}">
              <a16:creationId xmlns:a16="http://schemas.microsoft.com/office/drawing/2014/main" id="{00000000-0008-0000-1100-000009A80A00}"/>
            </a:ext>
          </a:extLst>
        </xdr:cNvPr>
        <xdr:cNvSpPr txBox="1">
          <a:spLocks noChangeArrowheads="1"/>
        </xdr:cNvSpPr>
      </xdr:nvSpPr>
      <xdr:spPr bwMode="auto">
        <a:xfrm>
          <a:off x="6169236" y="6769064"/>
          <a:ext cx="1314450" cy="2735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600" b="0" i="0" u="none" strike="noStrike" baseline="0">
              <a:solidFill>
                <a:srgbClr val="000000"/>
              </a:solidFill>
              <a:latin typeface="メイリオ" panose="020B0604030504040204" pitchFamily="50" charset="-128"/>
              <a:ea typeface="メイリオ" panose="020B0604030504040204" pitchFamily="50" charset="-128"/>
            </a:rPr>
            <a:t>台　</a:t>
          </a:r>
          <a:r>
            <a:rPr lang="en-US" altLang="ja-JP" sz="600" b="0" i="0" u="none" strike="noStrike" baseline="0">
              <a:solidFill>
                <a:srgbClr val="000000"/>
              </a:solidFill>
              <a:latin typeface="+mj-lt"/>
              <a:ea typeface="メイリオ" panose="020B0604030504040204" pitchFamily="50" charset="-128"/>
            </a:rPr>
            <a:t>No. of Vehicles</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16</xdr:col>
      <xdr:colOff>254876</xdr:colOff>
      <xdr:row>30</xdr:row>
      <xdr:rowOff>112955</xdr:rowOff>
    </xdr:from>
    <xdr:to>
      <xdr:col>17</xdr:col>
      <xdr:colOff>138194</xdr:colOff>
      <xdr:row>32</xdr:row>
      <xdr:rowOff>1376</xdr:rowOff>
    </xdr:to>
    <xdr:sp macro="" textlink="">
      <xdr:nvSpPr>
        <xdr:cNvPr id="698378" name="Text Box 10">
          <a:extLst>
            <a:ext uri="{FF2B5EF4-FFF2-40B4-BE49-F238E27FC236}">
              <a16:creationId xmlns:a16="http://schemas.microsoft.com/office/drawing/2014/main" id="{00000000-0008-0000-1100-00000AA80A00}"/>
            </a:ext>
          </a:extLst>
        </xdr:cNvPr>
        <xdr:cNvSpPr txBox="1">
          <a:spLocks noChangeArrowheads="1"/>
        </xdr:cNvSpPr>
      </xdr:nvSpPr>
      <xdr:spPr bwMode="auto">
        <a:xfrm>
          <a:off x="10846676" y="6551855"/>
          <a:ext cx="473868" cy="212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600" b="0" i="0" u="none" strike="noStrike" baseline="0">
              <a:solidFill>
                <a:srgbClr val="000000"/>
              </a:solidFill>
              <a:latin typeface="メイリオ" panose="020B0604030504040204" pitchFamily="50" charset="-128"/>
              <a:ea typeface="メイリオ" panose="020B0604030504040204" pitchFamily="50" charset="-128"/>
            </a:rPr>
            <a:t>％</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16</xdr:col>
      <xdr:colOff>241727</xdr:colOff>
      <xdr:row>39</xdr:row>
      <xdr:rowOff>144280</xdr:rowOff>
    </xdr:from>
    <xdr:to>
      <xdr:col>17</xdr:col>
      <xdr:colOff>182195</xdr:colOff>
      <xdr:row>39</xdr:row>
      <xdr:rowOff>404917</xdr:rowOff>
    </xdr:to>
    <xdr:sp macro="" textlink="">
      <xdr:nvSpPr>
        <xdr:cNvPr id="698382" name="Text Box 14">
          <a:extLst>
            <a:ext uri="{FF2B5EF4-FFF2-40B4-BE49-F238E27FC236}">
              <a16:creationId xmlns:a16="http://schemas.microsoft.com/office/drawing/2014/main" id="{00000000-0008-0000-1100-00000EA80A00}"/>
            </a:ext>
          </a:extLst>
        </xdr:cNvPr>
        <xdr:cNvSpPr txBox="1">
          <a:spLocks noChangeArrowheads="1"/>
        </xdr:cNvSpPr>
      </xdr:nvSpPr>
      <xdr:spPr bwMode="auto">
        <a:xfrm>
          <a:off x="10833527" y="8040505"/>
          <a:ext cx="531018" cy="2606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600" b="0" i="0" u="none" strike="noStrike" baseline="0">
              <a:solidFill>
                <a:srgbClr val="000000"/>
              </a:solidFill>
              <a:latin typeface="メイリオ" panose="020B0604030504040204" pitchFamily="50" charset="-128"/>
              <a:ea typeface="メイリオ" panose="020B0604030504040204" pitchFamily="50" charset="-128"/>
            </a:rPr>
            <a:t>期　</a:t>
          </a:r>
          <a:r>
            <a:rPr lang="en-US" altLang="ja-JP" sz="600" b="0" i="0" u="none" strike="noStrike" baseline="0">
              <a:solidFill>
                <a:srgbClr val="000000"/>
              </a:solidFill>
              <a:latin typeface="+mj-lt"/>
              <a:ea typeface="メイリオ" panose="020B0604030504040204" pitchFamily="50" charset="-128"/>
            </a:rPr>
            <a:t>FY</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0</xdr:col>
      <xdr:colOff>544286</xdr:colOff>
      <xdr:row>0</xdr:row>
      <xdr:rowOff>598714</xdr:rowOff>
    </xdr:from>
    <xdr:to>
      <xdr:col>16</xdr:col>
      <xdr:colOff>212912</xdr:colOff>
      <xdr:row>2</xdr:row>
      <xdr:rowOff>299357</xdr:rowOff>
    </xdr:to>
    <xdr:sp macro="" textlink="">
      <xdr:nvSpPr>
        <xdr:cNvPr id="13" name="テキスト ボックス 12">
          <a:extLst>
            <a:ext uri="{FF2B5EF4-FFF2-40B4-BE49-F238E27FC236}">
              <a16:creationId xmlns:a16="http://schemas.microsoft.com/office/drawing/2014/main" id="{00000000-0008-0000-1100-00000D000000}"/>
            </a:ext>
          </a:extLst>
        </xdr:cNvPr>
        <xdr:cNvSpPr txBox="1"/>
      </xdr:nvSpPr>
      <xdr:spPr>
        <a:xfrm>
          <a:off x="544286" y="598714"/>
          <a:ext cx="10314214" cy="619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（５）オートオークション － 会員数および外部落札情報（</a:t>
          </a:r>
          <a:r>
            <a:rPr kumimoji="1" lang="en-US" altLang="ja-JP" sz="1200" b="1">
              <a:latin typeface="メイリオ" panose="020B0604030504040204" pitchFamily="50" charset="-128"/>
              <a:ea typeface="メイリオ" panose="020B0604030504040204" pitchFamily="50" charset="-128"/>
            </a:rPr>
            <a:t>JBA</a:t>
          </a:r>
          <a:r>
            <a:rPr kumimoji="1" lang="ja-JP" altLang="en-US" sz="1200" b="1">
              <a:latin typeface="メイリオ" panose="020B0604030504040204" pitchFamily="50" charset="-128"/>
              <a:ea typeface="メイリオ" panose="020B0604030504040204" pitchFamily="50" charset="-128"/>
            </a:rPr>
            <a:t>除く）</a:t>
          </a:r>
          <a:r>
            <a:rPr kumimoji="1" lang="ja-JP" altLang="en-US" sz="1100" b="1">
              <a:latin typeface="メイリオ" panose="020B0604030504040204" pitchFamily="50" charset="-128"/>
              <a:ea typeface="メイリオ" panose="020B0604030504040204" pitchFamily="50" charset="-128"/>
            </a:rPr>
            <a:t>　</a:t>
          </a:r>
          <a:r>
            <a:rPr kumimoji="1" lang="en-US" altLang="ja-JP" sz="900" b="0">
              <a:latin typeface="+mj-lt"/>
              <a:ea typeface="メイリオ" panose="020B0604030504040204" pitchFamily="50" charset="-128"/>
            </a:rPr>
            <a:t>Auto Auction Business - Members and Successful Off-site Bids (excl. JBA)</a:t>
          </a:r>
          <a:endParaRPr kumimoji="1" lang="ja-JP" altLang="en-US" sz="1050" b="0">
            <a:latin typeface="+mj-lt"/>
            <a:ea typeface="メイリオ" panose="020B0604030504040204" pitchFamily="50" charset="-128"/>
          </a:endParaRPr>
        </a:p>
      </xdr:txBody>
    </xdr:sp>
    <xdr:clientData/>
  </xdr:twoCellAnchor>
  <xdr:twoCellAnchor>
    <xdr:from>
      <xdr:col>0</xdr:col>
      <xdr:colOff>693965</xdr:colOff>
      <xdr:row>2</xdr:row>
      <xdr:rowOff>489857</xdr:rowOff>
    </xdr:from>
    <xdr:to>
      <xdr:col>6</xdr:col>
      <xdr:colOff>272143</xdr:colOff>
      <xdr:row>3</xdr:row>
      <xdr:rowOff>274440</xdr:rowOff>
    </xdr:to>
    <xdr:sp macro="" textlink="">
      <xdr:nvSpPr>
        <xdr:cNvPr id="15" name="Text Box 46">
          <a:extLst>
            <a:ext uri="{FF2B5EF4-FFF2-40B4-BE49-F238E27FC236}">
              <a16:creationId xmlns:a16="http://schemas.microsoft.com/office/drawing/2014/main" id="{00000000-0008-0000-1100-00000F000000}"/>
            </a:ext>
          </a:extLst>
        </xdr:cNvPr>
        <xdr:cNvSpPr txBox="1">
          <a:spLocks noChangeArrowheads="1"/>
        </xdr:cNvSpPr>
      </xdr:nvSpPr>
      <xdr:spPr bwMode="auto">
        <a:xfrm>
          <a:off x="693965" y="1415143"/>
          <a:ext cx="4245428" cy="3424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1100" b="1" i="0" u="none" strike="noStrike" baseline="0">
              <a:solidFill>
                <a:srgbClr val="004098"/>
              </a:solidFill>
              <a:latin typeface="メイリオ" panose="020B0604030504040204" pitchFamily="50" charset="-128"/>
              <a:ea typeface="メイリオ" panose="020B0604030504040204" pitchFamily="50" charset="-128"/>
            </a:rPr>
            <a:t>会員数（</a:t>
          </a:r>
          <a:r>
            <a:rPr lang="en-US" altLang="ja-JP" sz="1100" b="1" i="0" u="none" strike="noStrike" baseline="0">
              <a:solidFill>
                <a:srgbClr val="004098"/>
              </a:solidFill>
              <a:latin typeface="メイリオ" panose="020B0604030504040204" pitchFamily="50" charset="-128"/>
              <a:ea typeface="メイリオ" panose="020B0604030504040204" pitchFamily="50" charset="-128"/>
            </a:rPr>
            <a:t>JBA</a:t>
          </a:r>
          <a:r>
            <a:rPr lang="ja-JP" altLang="en-US" sz="1100" b="1" i="0" u="none" strike="noStrike" baseline="0">
              <a:solidFill>
                <a:srgbClr val="004098"/>
              </a:solidFill>
              <a:latin typeface="メイリオ" panose="020B0604030504040204" pitchFamily="50" charset="-128"/>
              <a:ea typeface="メイリオ" panose="020B0604030504040204" pitchFamily="50" charset="-128"/>
            </a:rPr>
            <a:t>除く）　</a:t>
          </a:r>
          <a:r>
            <a:rPr lang="en-US" altLang="ja-JP" sz="1050" b="0" i="0" u="none" strike="noStrike" baseline="0">
              <a:solidFill>
                <a:srgbClr val="004098"/>
              </a:solidFill>
              <a:latin typeface="+mj-lt"/>
              <a:ea typeface="メイリオ" panose="020B0604030504040204" pitchFamily="50" charset="-128"/>
            </a:rPr>
            <a:t>Members (excl. JBA)</a:t>
          </a:r>
        </a:p>
      </xdr:txBody>
    </xdr:sp>
    <xdr:clientData/>
  </xdr:twoCellAnchor>
  <xdr:twoCellAnchor>
    <xdr:from>
      <xdr:col>0</xdr:col>
      <xdr:colOff>682759</xdr:colOff>
      <xdr:row>11</xdr:row>
      <xdr:rowOff>0</xdr:rowOff>
    </xdr:from>
    <xdr:to>
      <xdr:col>11</xdr:col>
      <xdr:colOff>582706</xdr:colOff>
      <xdr:row>14</xdr:row>
      <xdr:rowOff>94346</xdr:rowOff>
    </xdr:to>
    <xdr:sp macro="" textlink="">
      <xdr:nvSpPr>
        <xdr:cNvPr id="16" name="Text Box 46">
          <a:extLst>
            <a:ext uri="{FF2B5EF4-FFF2-40B4-BE49-F238E27FC236}">
              <a16:creationId xmlns:a16="http://schemas.microsoft.com/office/drawing/2014/main" id="{00000000-0008-0000-1100-000010000000}"/>
            </a:ext>
          </a:extLst>
        </xdr:cNvPr>
        <xdr:cNvSpPr txBox="1">
          <a:spLocks noChangeArrowheads="1"/>
        </xdr:cNvSpPr>
      </xdr:nvSpPr>
      <xdr:spPr bwMode="auto">
        <a:xfrm>
          <a:off x="682759" y="3253708"/>
          <a:ext cx="7575976" cy="6282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1100" b="1" i="0" u="none" strike="noStrike" baseline="0">
              <a:solidFill>
                <a:srgbClr val="004098"/>
              </a:solidFill>
              <a:latin typeface="メイリオ" panose="020B0604030504040204" pitchFamily="50" charset="-128"/>
              <a:ea typeface="メイリオ" panose="020B0604030504040204" pitchFamily="50" charset="-128"/>
            </a:rPr>
            <a:t>外部落札台数および外部落札比率（</a:t>
          </a:r>
          <a:r>
            <a:rPr lang="en-US" altLang="ja-JP" sz="1100" b="1" i="0" u="none" strike="noStrike" baseline="0">
              <a:solidFill>
                <a:srgbClr val="004098"/>
              </a:solidFill>
              <a:latin typeface="メイリオ" panose="020B0604030504040204" pitchFamily="50" charset="-128"/>
              <a:ea typeface="メイリオ" panose="020B0604030504040204" pitchFamily="50" charset="-128"/>
            </a:rPr>
            <a:t>JBA</a:t>
          </a:r>
          <a:r>
            <a:rPr lang="ja-JP" altLang="en-US" sz="1100" b="1" i="0" u="none" strike="noStrike" baseline="0">
              <a:solidFill>
                <a:srgbClr val="004098"/>
              </a:solidFill>
              <a:latin typeface="メイリオ" panose="020B0604030504040204" pitchFamily="50" charset="-128"/>
              <a:ea typeface="メイリオ" panose="020B0604030504040204" pitchFamily="50" charset="-128"/>
            </a:rPr>
            <a:t>除く）　</a:t>
          </a:r>
          <a:r>
            <a:rPr lang="en-US" altLang="ja-JP" sz="1050" b="0" i="0" u="none" strike="noStrike" baseline="0">
              <a:solidFill>
                <a:srgbClr val="004098"/>
              </a:solidFill>
              <a:latin typeface="+mj-lt"/>
              <a:ea typeface="メイリオ" panose="020B0604030504040204" pitchFamily="50" charset="-128"/>
            </a:rPr>
            <a:t>Number/Ratio of Successful Off-site Bids (excl. JBA)</a:t>
          </a:r>
        </a:p>
      </xdr:txBody>
    </xdr:sp>
    <xdr:clientData/>
  </xdr:twoCellAnchor>
  <xdr:twoCellAnchor>
    <xdr:from>
      <xdr:col>0</xdr:col>
      <xdr:colOff>704851</xdr:colOff>
      <xdr:row>27</xdr:row>
      <xdr:rowOff>38099</xdr:rowOff>
    </xdr:from>
    <xdr:to>
      <xdr:col>3</xdr:col>
      <xdr:colOff>1061358</xdr:colOff>
      <xdr:row>29</xdr:row>
      <xdr:rowOff>136071</xdr:rowOff>
    </xdr:to>
    <xdr:sp macro="" textlink="">
      <xdr:nvSpPr>
        <xdr:cNvPr id="17" name="Text Box 46">
          <a:extLst>
            <a:ext uri="{FF2B5EF4-FFF2-40B4-BE49-F238E27FC236}">
              <a16:creationId xmlns:a16="http://schemas.microsoft.com/office/drawing/2014/main" id="{00000000-0008-0000-1100-000011000000}"/>
            </a:ext>
          </a:extLst>
        </xdr:cNvPr>
        <xdr:cNvSpPr txBox="1">
          <a:spLocks noChangeArrowheads="1"/>
        </xdr:cNvSpPr>
      </xdr:nvSpPr>
      <xdr:spPr bwMode="auto">
        <a:xfrm>
          <a:off x="704851" y="5589813"/>
          <a:ext cx="2696936" cy="3973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1" i="0" u="none" strike="noStrike" baseline="0">
              <a:solidFill>
                <a:srgbClr val="000000"/>
              </a:solidFill>
              <a:latin typeface="メイリオ" panose="020B0604030504040204" pitchFamily="50" charset="-128"/>
              <a:ea typeface="メイリオ" panose="020B0604030504040204" pitchFamily="50" charset="-128"/>
            </a:rPr>
            <a:t>会員数（</a:t>
          </a:r>
          <a:r>
            <a:rPr lang="en-US" altLang="ja-JP" sz="900" b="1" i="0" u="none" strike="noStrike" baseline="0">
              <a:solidFill>
                <a:srgbClr val="000000"/>
              </a:solidFill>
              <a:latin typeface="メイリオ" panose="020B0604030504040204" pitchFamily="50" charset="-128"/>
              <a:ea typeface="メイリオ" panose="020B0604030504040204" pitchFamily="50" charset="-128"/>
            </a:rPr>
            <a:t>JBA</a:t>
          </a:r>
          <a:r>
            <a:rPr lang="ja-JP" altLang="en-US" sz="900" b="1" i="0" u="none" strike="noStrike" baseline="0">
              <a:solidFill>
                <a:srgbClr val="000000"/>
              </a:solidFill>
              <a:latin typeface="メイリオ" panose="020B0604030504040204" pitchFamily="50" charset="-128"/>
              <a:ea typeface="メイリオ" panose="020B0604030504040204" pitchFamily="50" charset="-128"/>
            </a:rPr>
            <a:t>除く）</a:t>
          </a:r>
          <a:r>
            <a:rPr lang="en-US" altLang="ja-JP" sz="1000" b="0" i="0" baseline="0">
              <a:effectLst/>
              <a:latin typeface="+mn-lt"/>
              <a:ea typeface="+mn-ea"/>
              <a:cs typeface="+mn-cs"/>
            </a:rPr>
            <a:t>Members (excl. JBA)</a:t>
          </a:r>
          <a:endParaRPr lang="ja-JP" altLang="ja-JP" sz="800">
            <a:effectLst/>
          </a:endParaRPr>
        </a:p>
      </xdr:txBody>
    </xdr:sp>
    <xdr:clientData/>
  </xdr:twoCellAnchor>
  <xdr:twoCellAnchor>
    <xdr:from>
      <xdr:col>14</xdr:col>
      <xdr:colOff>521074</xdr:colOff>
      <xdr:row>0</xdr:row>
      <xdr:rowOff>670112</xdr:rowOff>
    </xdr:from>
    <xdr:to>
      <xdr:col>17</xdr:col>
      <xdr:colOff>31483</xdr:colOff>
      <xdr:row>2</xdr:row>
      <xdr:rowOff>45089</xdr:rowOff>
    </xdr:to>
    <xdr:sp macro="" textlink="">
      <xdr:nvSpPr>
        <xdr:cNvPr id="20" name="テキスト ボックス 19">
          <a:extLst>
            <a:ext uri="{FF2B5EF4-FFF2-40B4-BE49-F238E27FC236}">
              <a16:creationId xmlns:a16="http://schemas.microsoft.com/office/drawing/2014/main" id="{00000000-0008-0000-1100-000014000000}"/>
            </a:ext>
          </a:extLst>
        </xdr:cNvPr>
        <xdr:cNvSpPr txBox="1"/>
      </xdr:nvSpPr>
      <xdr:spPr>
        <a:xfrm>
          <a:off x="9978839" y="670112"/>
          <a:ext cx="1292144" cy="2938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900" b="1">
              <a:solidFill>
                <a:srgbClr val="BDC3C4"/>
              </a:solidFill>
              <a:latin typeface="メイリオ" panose="020B0604030504040204" pitchFamily="50" charset="-128"/>
              <a:ea typeface="メイリオ" panose="020B0604030504040204" pitchFamily="50" charset="-128"/>
            </a:rPr>
            <a:t>Ⅲ-1.</a:t>
          </a:r>
          <a:r>
            <a:rPr kumimoji="1" lang="ja-JP" altLang="en-US" sz="900" b="1">
              <a:solidFill>
                <a:srgbClr val="BDC3C4"/>
              </a:solidFill>
              <a:latin typeface="メイリオ" panose="020B0604030504040204" pitchFamily="50" charset="-128"/>
              <a:ea typeface="メイリオ" panose="020B0604030504040204" pitchFamily="50" charset="-128"/>
            </a:rPr>
            <a:t>セグメント</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68036</xdr:colOff>
      <xdr:row>15</xdr:row>
      <xdr:rowOff>336096</xdr:rowOff>
    </xdr:from>
    <xdr:to>
      <xdr:col>18</xdr:col>
      <xdr:colOff>68036</xdr:colOff>
      <xdr:row>37</xdr:row>
      <xdr:rowOff>81642</xdr:rowOff>
    </xdr:to>
    <xdr:graphicFrame macro="">
      <xdr:nvGraphicFramePr>
        <xdr:cNvPr id="1433601" name="グラフ 1">
          <a:extLst>
            <a:ext uri="{FF2B5EF4-FFF2-40B4-BE49-F238E27FC236}">
              <a16:creationId xmlns:a16="http://schemas.microsoft.com/office/drawing/2014/main" id="{00000000-0008-0000-1200-000001E01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3</xdr:row>
      <xdr:rowOff>0</xdr:rowOff>
    </xdr:from>
    <xdr:to>
      <xdr:col>15</xdr:col>
      <xdr:colOff>0</xdr:colOff>
      <xdr:row>3</xdr:row>
      <xdr:rowOff>0</xdr:rowOff>
    </xdr:to>
    <xdr:sp macro="" textlink="">
      <xdr:nvSpPr>
        <xdr:cNvPr id="1433608" name="AutoShape 7">
          <a:extLst>
            <a:ext uri="{FF2B5EF4-FFF2-40B4-BE49-F238E27FC236}">
              <a16:creationId xmlns:a16="http://schemas.microsoft.com/office/drawing/2014/main" id="{00000000-0008-0000-1200-000008E01500}"/>
            </a:ext>
          </a:extLst>
        </xdr:cNvPr>
        <xdr:cNvSpPr>
          <a:spLocks/>
        </xdr:cNvSpPr>
      </xdr:nvSpPr>
      <xdr:spPr bwMode="auto">
        <a:xfrm>
          <a:off x="10277475" y="466725"/>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3</xdr:row>
      <xdr:rowOff>0</xdr:rowOff>
    </xdr:from>
    <xdr:to>
      <xdr:col>15</xdr:col>
      <xdr:colOff>0</xdr:colOff>
      <xdr:row>3</xdr:row>
      <xdr:rowOff>0</xdr:rowOff>
    </xdr:to>
    <xdr:sp macro="" textlink="">
      <xdr:nvSpPr>
        <xdr:cNvPr id="1433609" name="Line 8">
          <a:extLst>
            <a:ext uri="{FF2B5EF4-FFF2-40B4-BE49-F238E27FC236}">
              <a16:creationId xmlns:a16="http://schemas.microsoft.com/office/drawing/2014/main" id="{00000000-0008-0000-1200-000009E01500}"/>
            </a:ext>
          </a:extLst>
        </xdr:cNvPr>
        <xdr:cNvSpPr>
          <a:spLocks noChangeShapeType="1"/>
        </xdr:cNvSpPr>
      </xdr:nvSpPr>
      <xdr:spPr bwMode="auto">
        <a:xfrm flipV="1">
          <a:off x="10277475" y="466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3</xdr:row>
      <xdr:rowOff>0</xdr:rowOff>
    </xdr:from>
    <xdr:to>
      <xdr:col>15</xdr:col>
      <xdr:colOff>0</xdr:colOff>
      <xdr:row>3</xdr:row>
      <xdr:rowOff>0</xdr:rowOff>
    </xdr:to>
    <xdr:sp macro="" textlink="">
      <xdr:nvSpPr>
        <xdr:cNvPr id="1433610" name="AutoShape 9">
          <a:extLst>
            <a:ext uri="{FF2B5EF4-FFF2-40B4-BE49-F238E27FC236}">
              <a16:creationId xmlns:a16="http://schemas.microsoft.com/office/drawing/2014/main" id="{00000000-0008-0000-1200-00000AE01500}"/>
            </a:ext>
          </a:extLst>
        </xdr:cNvPr>
        <xdr:cNvSpPr>
          <a:spLocks/>
        </xdr:cNvSpPr>
      </xdr:nvSpPr>
      <xdr:spPr bwMode="auto">
        <a:xfrm>
          <a:off x="10277475" y="466725"/>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3</xdr:row>
      <xdr:rowOff>0</xdr:rowOff>
    </xdr:from>
    <xdr:to>
      <xdr:col>15</xdr:col>
      <xdr:colOff>0</xdr:colOff>
      <xdr:row>3</xdr:row>
      <xdr:rowOff>0</xdr:rowOff>
    </xdr:to>
    <xdr:sp macro="" textlink="">
      <xdr:nvSpPr>
        <xdr:cNvPr id="1433611" name="Line 10">
          <a:extLst>
            <a:ext uri="{FF2B5EF4-FFF2-40B4-BE49-F238E27FC236}">
              <a16:creationId xmlns:a16="http://schemas.microsoft.com/office/drawing/2014/main" id="{00000000-0008-0000-1200-00000BE01500}"/>
            </a:ext>
          </a:extLst>
        </xdr:cNvPr>
        <xdr:cNvSpPr>
          <a:spLocks noChangeShapeType="1"/>
        </xdr:cNvSpPr>
      </xdr:nvSpPr>
      <xdr:spPr bwMode="auto">
        <a:xfrm flipV="1">
          <a:off x="10277475" y="466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3</xdr:row>
      <xdr:rowOff>0</xdr:rowOff>
    </xdr:from>
    <xdr:to>
      <xdr:col>15</xdr:col>
      <xdr:colOff>0</xdr:colOff>
      <xdr:row>3</xdr:row>
      <xdr:rowOff>0</xdr:rowOff>
    </xdr:to>
    <xdr:sp macro="" textlink="">
      <xdr:nvSpPr>
        <xdr:cNvPr id="1433612" name="Line 11">
          <a:extLst>
            <a:ext uri="{FF2B5EF4-FFF2-40B4-BE49-F238E27FC236}">
              <a16:creationId xmlns:a16="http://schemas.microsoft.com/office/drawing/2014/main" id="{00000000-0008-0000-1200-00000CE01500}"/>
            </a:ext>
          </a:extLst>
        </xdr:cNvPr>
        <xdr:cNvSpPr>
          <a:spLocks noChangeShapeType="1"/>
        </xdr:cNvSpPr>
      </xdr:nvSpPr>
      <xdr:spPr bwMode="auto">
        <a:xfrm flipV="1">
          <a:off x="10277475" y="466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142875</xdr:colOff>
      <xdr:row>17</xdr:row>
      <xdr:rowOff>0</xdr:rowOff>
    </xdr:from>
    <xdr:to>
      <xdr:col>0</xdr:col>
      <xdr:colOff>85725</xdr:colOff>
      <xdr:row>17</xdr:row>
      <xdr:rowOff>0</xdr:rowOff>
    </xdr:to>
    <xdr:sp macro="" textlink="">
      <xdr:nvSpPr>
        <xdr:cNvPr id="1433613" name="Line 12">
          <a:extLst>
            <a:ext uri="{FF2B5EF4-FFF2-40B4-BE49-F238E27FC236}">
              <a16:creationId xmlns:a16="http://schemas.microsoft.com/office/drawing/2014/main" id="{00000000-0008-0000-1200-00000DE01500}"/>
            </a:ext>
          </a:extLst>
        </xdr:cNvPr>
        <xdr:cNvSpPr>
          <a:spLocks noChangeShapeType="1"/>
        </xdr:cNvSpPr>
      </xdr:nvSpPr>
      <xdr:spPr bwMode="auto">
        <a:xfrm>
          <a:off x="85725" y="4067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3</xdr:row>
      <xdr:rowOff>0</xdr:rowOff>
    </xdr:from>
    <xdr:to>
      <xdr:col>15</xdr:col>
      <xdr:colOff>0</xdr:colOff>
      <xdr:row>3</xdr:row>
      <xdr:rowOff>0</xdr:rowOff>
    </xdr:to>
    <xdr:sp macro="" textlink="">
      <xdr:nvSpPr>
        <xdr:cNvPr id="1433614" name="AutoShape 14">
          <a:extLst>
            <a:ext uri="{FF2B5EF4-FFF2-40B4-BE49-F238E27FC236}">
              <a16:creationId xmlns:a16="http://schemas.microsoft.com/office/drawing/2014/main" id="{00000000-0008-0000-1200-00000EE01500}"/>
            </a:ext>
          </a:extLst>
        </xdr:cNvPr>
        <xdr:cNvSpPr>
          <a:spLocks/>
        </xdr:cNvSpPr>
      </xdr:nvSpPr>
      <xdr:spPr bwMode="auto">
        <a:xfrm>
          <a:off x="10277475" y="466725"/>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3313</xdr:colOff>
      <xdr:row>16</xdr:row>
      <xdr:rowOff>171785</xdr:rowOff>
    </xdr:from>
    <xdr:to>
      <xdr:col>3</xdr:col>
      <xdr:colOff>31888</xdr:colOff>
      <xdr:row>18</xdr:row>
      <xdr:rowOff>45239</xdr:rowOff>
    </xdr:to>
    <xdr:sp macro="" textlink="">
      <xdr:nvSpPr>
        <xdr:cNvPr id="1433616" name="Text Box 20">
          <a:extLst>
            <a:ext uri="{FF2B5EF4-FFF2-40B4-BE49-F238E27FC236}">
              <a16:creationId xmlns:a16="http://schemas.microsoft.com/office/drawing/2014/main" id="{00000000-0008-0000-1200-000010E01500}"/>
            </a:ext>
          </a:extLst>
        </xdr:cNvPr>
        <xdr:cNvSpPr txBox="1">
          <a:spLocks noChangeArrowheads="1"/>
        </xdr:cNvSpPr>
      </xdr:nvSpPr>
      <xdr:spPr bwMode="auto">
        <a:xfrm>
          <a:off x="724492" y="5505785"/>
          <a:ext cx="1824717" cy="2408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l" rtl="0">
            <a:defRPr sz="1000"/>
          </a:pPr>
          <a:r>
            <a:rPr lang="ja-JP" altLang="en-US" sz="800" b="0" i="0" u="none" strike="noStrike" baseline="0">
              <a:solidFill>
                <a:srgbClr val="000000"/>
              </a:solidFill>
              <a:latin typeface="メイリオ" panose="020B0604030504040204" pitchFamily="50" charset="-128"/>
              <a:ea typeface="メイリオ" panose="020B0604030504040204" pitchFamily="50" charset="-128"/>
            </a:rPr>
            <a:t>(台　</a:t>
          </a:r>
          <a:r>
            <a:rPr lang="ja-JP" altLang="en-US" sz="800" b="0" i="0" u="none" strike="noStrike" baseline="0">
              <a:solidFill>
                <a:srgbClr val="000000"/>
              </a:solidFill>
              <a:latin typeface="+mj-lt"/>
              <a:ea typeface="メイリオ" panose="020B0604030504040204" pitchFamily="50" charset="-128"/>
            </a:rPr>
            <a:t>No. of </a:t>
          </a:r>
          <a:r>
            <a:rPr lang="en-US" altLang="ja-JP" sz="800" b="0" i="0" u="none" strike="noStrike" baseline="0">
              <a:solidFill>
                <a:srgbClr val="000000"/>
              </a:solidFill>
              <a:latin typeface="+mj-lt"/>
              <a:ea typeface="メイリオ" panose="020B0604030504040204" pitchFamily="50" charset="-128"/>
            </a:rPr>
            <a:t>Motorcy</a:t>
          </a:r>
          <a:r>
            <a:rPr lang="ja-JP" altLang="en-US" sz="800" b="0" i="0" u="none" strike="noStrike" baseline="0">
              <a:solidFill>
                <a:srgbClr val="000000"/>
              </a:solidFill>
              <a:latin typeface="+mj-lt"/>
              <a:ea typeface="メイリオ" panose="020B0604030504040204" pitchFamily="50" charset="-128"/>
            </a:rPr>
            <a:t>cles</a:t>
          </a:r>
          <a:r>
            <a:rPr lang="ja-JP" altLang="en-US" sz="8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13</xdr:col>
      <xdr:colOff>497061</xdr:colOff>
      <xdr:row>16</xdr:row>
      <xdr:rowOff>69599</xdr:rowOff>
    </xdr:from>
    <xdr:to>
      <xdr:col>14</xdr:col>
      <xdr:colOff>401811</xdr:colOff>
      <xdr:row>18</xdr:row>
      <xdr:rowOff>5325</xdr:rowOff>
    </xdr:to>
    <xdr:sp macro="" textlink="">
      <xdr:nvSpPr>
        <xdr:cNvPr id="1433617" name="Text Box 21">
          <a:extLst>
            <a:ext uri="{FF2B5EF4-FFF2-40B4-BE49-F238E27FC236}">
              <a16:creationId xmlns:a16="http://schemas.microsoft.com/office/drawing/2014/main" id="{00000000-0008-0000-1200-000011E01500}"/>
            </a:ext>
          </a:extLst>
        </xdr:cNvPr>
        <xdr:cNvSpPr txBox="1">
          <a:spLocks noChangeArrowheads="1"/>
        </xdr:cNvSpPr>
      </xdr:nvSpPr>
      <xdr:spPr bwMode="auto">
        <a:xfrm>
          <a:off x="9338502" y="5358775"/>
          <a:ext cx="509868" cy="2943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ctr" rtl="0">
            <a:defRPr sz="1000"/>
          </a:pPr>
          <a:r>
            <a:rPr lang="ja-JP" altLang="en-US" sz="8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13</xdr:col>
      <xdr:colOff>581404</xdr:colOff>
      <xdr:row>30</xdr:row>
      <xdr:rowOff>324869</xdr:rowOff>
    </xdr:from>
    <xdr:to>
      <xdr:col>14</xdr:col>
      <xdr:colOff>506715</xdr:colOff>
      <xdr:row>31</xdr:row>
      <xdr:rowOff>432518</xdr:rowOff>
    </xdr:to>
    <xdr:sp macro="" textlink="">
      <xdr:nvSpPr>
        <xdr:cNvPr id="1433618" name="Text Box 4">
          <a:extLst>
            <a:ext uri="{FF2B5EF4-FFF2-40B4-BE49-F238E27FC236}">
              <a16:creationId xmlns:a16="http://schemas.microsoft.com/office/drawing/2014/main" id="{00000000-0008-0000-1200-000012E01500}"/>
            </a:ext>
          </a:extLst>
        </xdr:cNvPr>
        <xdr:cNvSpPr txBox="1">
          <a:spLocks noChangeArrowheads="1"/>
        </xdr:cNvSpPr>
      </xdr:nvSpPr>
      <xdr:spPr bwMode="auto">
        <a:xfrm>
          <a:off x="9439654" y="8004400"/>
          <a:ext cx="532530" cy="48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メイリオ" panose="020B0604030504040204" pitchFamily="50" charset="-128"/>
              <a:ea typeface="メイリオ" panose="020B0604030504040204" pitchFamily="50" charset="-128"/>
            </a:rPr>
            <a:t>(期　</a:t>
          </a:r>
          <a:r>
            <a:rPr lang="ja-JP" altLang="en-US" sz="800" b="0" i="0" u="none" strike="noStrike" baseline="0">
              <a:solidFill>
                <a:srgbClr val="000000"/>
              </a:solidFill>
              <a:latin typeface="+mj-lt"/>
              <a:ea typeface="メイリオ" panose="020B0604030504040204" pitchFamily="50" charset="-128"/>
            </a:rPr>
            <a:t>FY</a:t>
          </a:r>
          <a:r>
            <a:rPr lang="ja-JP" altLang="en-US" sz="8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fLocksWithSheet="0"/>
  </xdr:twoCellAnchor>
  <xdr:twoCellAnchor>
    <xdr:from>
      <xdr:col>0</xdr:col>
      <xdr:colOff>555625</xdr:colOff>
      <xdr:row>0</xdr:row>
      <xdr:rowOff>631824</xdr:rowOff>
    </xdr:from>
    <xdr:to>
      <xdr:col>15</xdr:col>
      <xdr:colOff>479086</xdr:colOff>
      <xdr:row>2</xdr:row>
      <xdr:rowOff>127363</xdr:rowOff>
    </xdr:to>
    <xdr:sp macro="" textlink="">
      <xdr:nvSpPr>
        <xdr:cNvPr id="20" name="テキスト ボックス 19">
          <a:extLst>
            <a:ext uri="{FF2B5EF4-FFF2-40B4-BE49-F238E27FC236}">
              <a16:creationId xmlns:a16="http://schemas.microsoft.com/office/drawing/2014/main" id="{00000000-0008-0000-1200-000014000000}"/>
            </a:ext>
          </a:extLst>
        </xdr:cNvPr>
        <xdr:cNvSpPr txBox="1"/>
      </xdr:nvSpPr>
      <xdr:spPr>
        <a:xfrm>
          <a:off x="555625" y="631824"/>
          <a:ext cx="10099336" cy="448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（６）オートオークション － バイクオークション実績推移　</a:t>
          </a:r>
          <a:r>
            <a:rPr kumimoji="1" lang="en-US" altLang="ja-JP" sz="1100" b="0">
              <a:latin typeface="+mj-lt"/>
              <a:ea typeface="メイリオ" panose="020B0604030504040204" pitchFamily="50" charset="-128"/>
            </a:rPr>
            <a:t>Auto Auction Business - Motorcycle Auction Results</a:t>
          </a:r>
          <a:endParaRPr kumimoji="1" lang="ja-JP" altLang="en-US" sz="1200" b="0">
            <a:latin typeface="+mj-lt"/>
            <a:ea typeface="メイリオ" panose="020B0604030504040204" pitchFamily="50" charset="-128"/>
          </a:endParaRPr>
        </a:p>
      </xdr:txBody>
    </xdr:sp>
    <xdr:clientData/>
  </xdr:twoCellAnchor>
  <xdr:twoCellAnchor>
    <xdr:from>
      <xdr:col>0</xdr:col>
      <xdr:colOff>676808</xdr:colOff>
      <xdr:row>15</xdr:row>
      <xdr:rowOff>408807</xdr:rowOff>
    </xdr:from>
    <xdr:to>
      <xdr:col>14</xdr:col>
      <xdr:colOff>94585</xdr:colOff>
      <xdr:row>16</xdr:row>
      <xdr:rowOff>112076</xdr:rowOff>
    </xdr:to>
    <xdr:sp macro="" textlink="">
      <xdr:nvSpPr>
        <xdr:cNvPr id="22" name="Text Box 46">
          <a:extLst>
            <a:ext uri="{FF2B5EF4-FFF2-40B4-BE49-F238E27FC236}">
              <a16:creationId xmlns:a16="http://schemas.microsoft.com/office/drawing/2014/main" id="{00000000-0008-0000-1200-000016000000}"/>
            </a:ext>
          </a:extLst>
        </xdr:cNvPr>
        <xdr:cNvSpPr txBox="1">
          <a:spLocks noChangeArrowheads="1"/>
        </xdr:cNvSpPr>
      </xdr:nvSpPr>
      <xdr:spPr bwMode="auto">
        <a:xfrm>
          <a:off x="676808" y="5076057"/>
          <a:ext cx="8915563" cy="370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1000" b="1" i="0" u="none" strike="noStrike" baseline="0">
              <a:solidFill>
                <a:srgbClr val="000000"/>
              </a:solidFill>
              <a:latin typeface="メイリオ" panose="020B0604030504040204" pitchFamily="50" charset="-128"/>
              <a:ea typeface="メイリオ" panose="020B0604030504040204" pitchFamily="50" charset="-128"/>
            </a:rPr>
            <a:t>バイクオークション出品台数および成約率　</a:t>
          </a:r>
          <a:r>
            <a:rPr lang="en-US" altLang="ja-JP" sz="900" b="0" i="0" u="none" strike="noStrike" baseline="0">
              <a:solidFill>
                <a:srgbClr val="000000"/>
              </a:solidFill>
              <a:latin typeface="+mj-lt"/>
              <a:ea typeface="メイリオ" panose="020B0604030504040204" pitchFamily="50" charset="-128"/>
            </a:rPr>
            <a:t>No. of Motorcycles Consigned and Contract Completion Rate</a:t>
          </a:r>
        </a:p>
      </xdr:txBody>
    </xdr:sp>
    <xdr:clientData/>
  </xdr:twoCellAnchor>
  <xdr:twoCellAnchor>
    <xdr:from>
      <xdr:col>15</xdr:col>
      <xdr:colOff>71639</xdr:colOff>
      <xdr:row>0</xdr:row>
      <xdr:rowOff>653142</xdr:rowOff>
    </xdr:from>
    <xdr:to>
      <xdr:col>18</xdr:col>
      <xdr:colOff>43489</xdr:colOff>
      <xdr:row>2</xdr:row>
      <xdr:rowOff>27212</xdr:rowOff>
    </xdr:to>
    <xdr:sp macro="" textlink="">
      <xdr:nvSpPr>
        <xdr:cNvPr id="24" name="テキスト ボックス 23">
          <a:extLst>
            <a:ext uri="{FF2B5EF4-FFF2-40B4-BE49-F238E27FC236}">
              <a16:creationId xmlns:a16="http://schemas.microsoft.com/office/drawing/2014/main" id="{00000000-0008-0000-1200-000018000000}"/>
            </a:ext>
          </a:extLst>
        </xdr:cNvPr>
        <xdr:cNvSpPr txBox="1"/>
      </xdr:nvSpPr>
      <xdr:spPr>
        <a:xfrm>
          <a:off x="10123315" y="653142"/>
          <a:ext cx="1249321" cy="315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900" b="1">
              <a:solidFill>
                <a:srgbClr val="BDC3C4"/>
              </a:solidFill>
              <a:latin typeface="メイリオ" panose="020B0604030504040204" pitchFamily="50" charset="-128"/>
              <a:ea typeface="メイリオ" panose="020B0604030504040204" pitchFamily="50" charset="-128"/>
            </a:rPr>
            <a:t>Ⅲ-1.</a:t>
          </a:r>
          <a:r>
            <a:rPr kumimoji="1" lang="ja-JP" altLang="en-US" sz="900" b="1">
              <a:solidFill>
                <a:srgbClr val="BDC3C4"/>
              </a:solidFill>
              <a:latin typeface="メイリオ" panose="020B0604030504040204" pitchFamily="50" charset="-128"/>
              <a:ea typeface="メイリオ" panose="020B0604030504040204" pitchFamily="50" charset="-128"/>
            </a:rPr>
            <a:t>セグメント</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228600</xdr:colOff>
      <xdr:row>18</xdr:row>
      <xdr:rowOff>190500</xdr:rowOff>
    </xdr:from>
    <xdr:to>
      <xdr:col>1</xdr:col>
      <xdr:colOff>1619250</xdr:colOff>
      <xdr:row>19</xdr:row>
      <xdr:rowOff>161925</xdr:rowOff>
    </xdr:to>
    <xdr:sp macro="" textlink="">
      <xdr:nvSpPr>
        <xdr:cNvPr id="668688" name="Text Box 16">
          <a:extLst>
            <a:ext uri="{FF2B5EF4-FFF2-40B4-BE49-F238E27FC236}">
              <a16:creationId xmlns:a16="http://schemas.microsoft.com/office/drawing/2014/main" id="{00000000-0008-0000-1300-000010340A00}"/>
            </a:ext>
          </a:extLst>
        </xdr:cNvPr>
        <xdr:cNvSpPr txBox="1">
          <a:spLocks noChangeArrowheads="1"/>
        </xdr:cNvSpPr>
      </xdr:nvSpPr>
      <xdr:spPr bwMode="auto">
        <a:xfrm>
          <a:off x="304800" y="3733800"/>
          <a:ext cx="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百万円</a:t>
          </a:r>
          <a:r>
            <a:rPr lang="en-US" altLang="ja-JP" sz="1000" b="0" i="0" u="none" strike="noStrike" baseline="0">
              <a:solidFill>
                <a:srgbClr val="000000"/>
              </a:solidFill>
              <a:latin typeface="ＭＳ Ｐゴシック"/>
              <a:ea typeface="ＭＳ Ｐゴシック"/>
            </a:rPr>
            <a:t>/ Million Yen)</a:t>
          </a:r>
        </a:p>
      </xdr:txBody>
    </xdr:sp>
    <xdr:clientData/>
  </xdr:twoCellAnchor>
  <xdr:twoCellAnchor>
    <xdr:from>
      <xdr:col>0</xdr:col>
      <xdr:colOff>690561</xdr:colOff>
      <xdr:row>16</xdr:row>
      <xdr:rowOff>9527</xdr:rowOff>
    </xdr:from>
    <xdr:to>
      <xdr:col>17</xdr:col>
      <xdr:colOff>554182</xdr:colOff>
      <xdr:row>26</xdr:row>
      <xdr:rowOff>116281</xdr:rowOff>
    </xdr:to>
    <xdr:graphicFrame macro="">
      <xdr:nvGraphicFramePr>
        <xdr:cNvPr id="669009" name="グラフ 22">
          <a:extLst>
            <a:ext uri="{FF2B5EF4-FFF2-40B4-BE49-F238E27FC236}">
              <a16:creationId xmlns:a16="http://schemas.microsoft.com/office/drawing/2014/main" id="{00000000-0008-0000-1300-00005135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70757</xdr:colOff>
      <xdr:row>17</xdr:row>
      <xdr:rowOff>46566</xdr:rowOff>
    </xdr:from>
    <xdr:to>
      <xdr:col>2</xdr:col>
      <xdr:colOff>1282813</xdr:colOff>
      <xdr:row>18</xdr:row>
      <xdr:rowOff>90756</xdr:rowOff>
    </xdr:to>
    <xdr:sp macro="" textlink="">
      <xdr:nvSpPr>
        <xdr:cNvPr id="668690" name="Text Box 18">
          <a:extLst>
            <a:ext uri="{FF2B5EF4-FFF2-40B4-BE49-F238E27FC236}">
              <a16:creationId xmlns:a16="http://schemas.microsoft.com/office/drawing/2014/main" id="{00000000-0008-0000-1300-000012340A00}"/>
            </a:ext>
          </a:extLst>
        </xdr:cNvPr>
        <xdr:cNvSpPr txBox="1">
          <a:spLocks noChangeArrowheads="1"/>
        </xdr:cNvSpPr>
      </xdr:nvSpPr>
      <xdr:spPr bwMode="auto">
        <a:xfrm>
          <a:off x="776728" y="4528919"/>
          <a:ext cx="1402556" cy="1786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l" rtl="0">
            <a:defRPr sz="1000"/>
          </a:pP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800" b="0" i="0" u="none" strike="noStrike" baseline="0">
              <a:solidFill>
                <a:srgbClr val="000000"/>
              </a:solidFill>
              <a:latin typeface="メイリオ" panose="020B0604030504040204" pitchFamily="50" charset="-128"/>
              <a:ea typeface="メイリオ" panose="020B0604030504040204" pitchFamily="50" charset="-128"/>
            </a:rPr>
            <a:t>百万円　</a:t>
          </a:r>
          <a:r>
            <a:rPr lang="en-US" altLang="ja-JP" sz="800" b="0" i="0" u="none" strike="noStrike" baseline="0">
              <a:solidFill>
                <a:srgbClr val="000000"/>
              </a:solidFill>
              <a:latin typeface="メイリオ" panose="020B0604030504040204" pitchFamily="50" charset="-128"/>
              <a:ea typeface="メイリオ" panose="020B0604030504040204" pitchFamily="50" charset="-128"/>
            </a:rPr>
            <a:t>Million Yen)</a:t>
          </a:r>
        </a:p>
      </xdr:txBody>
    </xdr:sp>
    <xdr:clientData/>
  </xdr:twoCellAnchor>
  <xdr:twoCellAnchor>
    <xdr:from>
      <xdr:col>11</xdr:col>
      <xdr:colOff>425564</xdr:colOff>
      <xdr:row>17</xdr:row>
      <xdr:rowOff>69696</xdr:rowOff>
    </xdr:from>
    <xdr:to>
      <xdr:col>12</xdr:col>
      <xdr:colOff>316706</xdr:colOff>
      <xdr:row>18</xdr:row>
      <xdr:rowOff>117969</xdr:rowOff>
    </xdr:to>
    <xdr:sp macro="" textlink="">
      <xdr:nvSpPr>
        <xdr:cNvPr id="668695" name="Text Box 23">
          <a:extLst>
            <a:ext uri="{FF2B5EF4-FFF2-40B4-BE49-F238E27FC236}">
              <a16:creationId xmlns:a16="http://schemas.microsoft.com/office/drawing/2014/main" id="{00000000-0008-0000-1300-000017340A00}"/>
            </a:ext>
          </a:extLst>
        </xdr:cNvPr>
        <xdr:cNvSpPr txBox="1">
          <a:spLocks noChangeArrowheads="1"/>
        </xdr:cNvSpPr>
      </xdr:nvSpPr>
      <xdr:spPr bwMode="auto">
        <a:xfrm>
          <a:off x="8445614" y="4527396"/>
          <a:ext cx="481692" cy="1816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800" b="0" i="0" u="none" strike="noStrike" baseline="0">
              <a:solidFill>
                <a:srgbClr val="000000"/>
              </a:solidFill>
              <a:latin typeface="メイリオ" panose="020B0604030504040204" pitchFamily="50" charset="-128"/>
              <a:ea typeface="メイリオ" panose="020B0604030504040204" pitchFamily="50" charset="-128"/>
            </a:rPr>
            <a:t>％</a:t>
          </a: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11</xdr:col>
      <xdr:colOff>488835</xdr:colOff>
      <xdr:row>25</xdr:row>
      <xdr:rowOff>312965</xdr:rowOff>
    </xdr:from>
    <xdr:to>
      <xdr:col>13</xdr:col>
      <xdr:colOff>69736</xdr:colOff>
      <xdr:row>26</xdr:row>
      <xdr:rowOff>204108</xdr:rowOff>
    </xdr:to>
    <xdr:sp macro="" textlink="">
      <xdr:nvSpPr>
        <xdr:cNvPr id="668696" name="Text Box 24">
          <a:extLst>
            <a:ext uri="{FF2B5EF4-FFF2-40B4-BE49-F238E27FC236}">
              <a16:creationId xmlns:a16="http://schemas.microsoft.com/office/drawing/2014/main" id="{00000000-0008-0000-1300-000018340A00}"/>
            </a:ext>
          </a:extLst>
        </xdr:cNvPr>
        <xdr:cNvSpPr txBox="1">
          <a:spLocks noChangeArrowheads="1"/>
        </xdr:cNvSpPr>
      </xdr:nvSpPr>
      <xdr:spPr bwMode="auto">
        <a:xfrm>
          <a:off x="8476228" y="6300108"/>
          <a:ext cx="751115" cy="4354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800" b="0" i="0" u="none" strike="noStrike" baseline="0">
              <a:solidFill>
                <a:srgbClr val="000000"/>
              </a:solidFill>
              <a:latin typeface="メイリオ" panose="020B0604030504040204" pitchFamily="50" charset="-128"/>
              <a:ea typeface="メイリオ" panose="020B0604030504040204" pitchFamily="50" charset="-128"/>
            </a:rPr>
            <a:t>期　</a:t>
          </a:r>
          <a:r>
            <a:rPr lang="en-US" altLang="ja-JP" sz="800" b="0" i="0" u="none" strike="noStrike" baseline="0">
              <a:solidFill>
                <a:srgbClr val="000000"/>
              </a:solidFill>
              <a:latin typeface="+mj-lt"/>
              <a:ea typeface="メイリオ" panose="020B0604030504040204" pitchFamily="50" charset="-128"/>
            </a:rPr>
            <a:t>FY</a:t>
          </a: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0</xdr:col>
      <xdr:colOff>535781</xdr:colOff>
      <xdr:row>0</xdr:row>
      <xdr:rowOff>677722</xdr:rowOff>
    </xdr:from>
    <xdr:to>
      <xdr:col>16</xdr:col>
      <xdr:colOff>111125</xdr:colOff>
      <xdr:row>2</xdr:row>
      <xdr:rowOff>90914</xdr:rowOff>
    </xdr:to>
    <xdr:sp macro="" textlink="">
      <xdr:nvSpPr>
        <xdr:cNvPr id="17" name="テキスト ボックス 16">
          <a:extLst>
            <a:ext uri="{FF2B5EF4-FFF2-40B4-BE49-F238E27FC236}">
              <a16:creationId xmlns:a16="http://schemas.microsoft.com/office/drawing/2014/main" id="{00000000-0008-0000-1300-000011000000}"/>
            </a:ext>
          </a:extLst>
        </xdr:cNvPr>
        <xdr:cNvSpPr txBox="1"/>
      </xdr:nvSpPr>
      <xdr:spPr>
        <a:xfrm>
          <a:off x="535781" y="677722"/>
          <a:ext cx="10590726" cy="376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（７）中古自動車等買取販売 － セグメント売上推移　</a:t>
          </a:r>
          <a:r>
            <a:rPr kumimoji="1" lang="en-US" altLang="ja-JP" sz="1100" b="0">
              <a:latin typeface="+mj-lt"/>
              <a:ea typeface="メイリオ" panose="020B0604030504040204" pitchFamily="50" charset="-128"/>
            </a:rPr>
            <a:t>Used Vehicle Sales/Purchases Business - Sales Composition</a:t>
          </a:r>
          <a:endParaRPr kumimoji="1" lang="ja-JP" altLang="en-US" sz="1200" b="0">
            <a:latin typeface="+mj-lt"/>
            <a:ea typeface="メイリオ" panose="020B0604030504040204" pitchFamily="50" charset="-128"/>
          </a:endParaRPr>
        </a:p>
      </xdr:txBody>
    </xdr:sp>
    <xdr:clientData/>
  </xdr:twoCellAnchor>
  <xdr:twoCellAnchor>
    <xdr:from>
      <xdr:col>1</xdr:col>
      <xdr:colOff>7938</xdr:colOff>
      <xdr:row>2</xdr:row>
      <xdr:rowOff>530224</xdr:rowOff>
    </xdr:from>
    <xdr:to>
      <xdr:col>12</xdr:col>
      <xdr:colOff>202407</xdr:colOff>
      <xdr:row>3</xdr:row>
      <xdr:rowOff>251618</xdr:rowOff>
    </xdr:to>
    <xdr:sp macro="" textlink="">
      <xdr:nvSpPr>
        <xdr:cNvPr id="19" name="Text Box 46">
          <a:extLst>
            <a:ext uri="{FF2B5EF4-FFF2-40B4-BE49-F238E27FC236}">
              <a16:creationId xmlns:a16="http://schemas.microsoft.com/office/drawing/2014/main" id="{00000000-0008-0000-1300-000013000000}"/>
            </a:ext>
          </a:extLst>
        </xdr:cNvPr>
        <xdr:cNvSpPr txBox="1">
          <a:spLocks noChangeArrowheads="1"/>
        </xdr:cNvSpPr>
      </xdr:nvSpPr>
      <xdr:spPr bwMode="auto">
        <a:xfrm>
          <a:off x="706438" y="1498599"/>
          <a:ext cx="7544594" cy="277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1100" b="1" i="0" u="none" strike="noStrike" baseline="0">
              <a:solidFill>
                <a:srgbClr val="004098"/>
              </a:solidFill>
              <a:latin typeface="メイリオ" panose="020B0604030504040204" pitchFamily="50" charset="-128"/>
              <a:ea typeface="メイリオ" panose="020B0604030504040204" pitchFamily="50" charset="-128"/>
            </a:rPr>
            <a:t>中古自動車等買取販売 － セグメント売上推移　</a:t>
          </a:r>
          <a:r>
            <a:rPr lang="en-US" altLang="ja-JP" sz="1050" b="0" i="0" u="none" strike="noStrike" baseline="0">
              <a:solidFill>
                <a:srgbClr val="004098"/>
              </a:solidFill>
              <a:latin typeface="+mj-lt"/>
              <a:ea typeface="メイリオ" panose="020B0604030504040204" pitchFamily="50" charset="-128"/>
            </a:rPr>
            <a:t>Used Vehicle Sales/Purchases Business - Sales Composition</a:t>
          </a:r>
        </a:p>
      </xdr:txBody>
    </xdr:sp>
    <xdr:clientData/>
  </xdr:twoCellAnchor>
  <xdr:twoCellAnchor>
    <xdr:from>
      <xdr:col>0</xdr:col>
      <xdr:colOff>690563</xdr:colOff>
      <xdr:row>26</xdr:row>
      <xdr:rowOff>197970</xdr:rowOff>
    </xdr:from>
    <xdr:to>
      <xdr:col>4</xdr:col>
      <xdr:colOff>523875</xdr:colOff>
      <xdr:row>28</xdr:row>
      <xdr:rowOff>96185</xdr:rowOff>
    </xdr:to>
    <xdr:sp macro="" textlink="">
      <xdr:nvSpPr>
        <xdr:cNvPr id="20" name="Text Box 46">
          <a:extLst>
            <a:ext uri="{FF2B5EF4-FFF2-40B4-BE49-F238E27FC236}">
              <a16:creationId xmlns:a16="http://schemas.microsoft.com/office/drawing/2014/main" id="{00000000-0008-0000-1300-000014000000}"/>
            </a:ext>
          </a:extLst>
        </xdr:cNvPr>
        <xdr:cNvSpPr txBox="1">
          <a:spLocks noChangeArrowheads="1"/>
        </xdr:cNvSpPr>
      </xdr:nvSpPr>
      <xdr:spPr bwMode="auto">
        <a:xfrm>
          <a:off x="690563" y="6843058"/>
          <a:ext cx="3351959" cy="5593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1100" b="1" i="0" u="none" strike="noStrike" baseline="0">
              <a:solidFill>
                <a:srgbClr val="004098"/>
              </a:solidFill>
              <a:latin typeface="メイリオ" panose="020B0604030504040204" pitchFamily="50" charset="-128"/>
              <a:ea typeface="メイリオ" panose="020B0604030504040204" pitchFamily="50" charset="-128"/>
            </a:rPr>
            <a:t>ラビット店舗数　</a:t>
          </a:r>
          <a:r>
            <a:rPr lang="en-US" altLang="ja-JP" sz="1050" b="0" i="0" u="none" strike="noStrike" baseline="0">
              <a:solidFill>
                <a:srgbClr val="004098"/>
              </a:solidFill>
              <a:latin typeface="+mj-lt"/>
              <a:ea typeface="メイリオ" panose="020B0604030504040204" pitchFamily="50" charset="-128"/>
            </a:rPr>
            <a:t>Rabbit Chain Shops</a:t>
          </a:r>
        </a:p>
      </xdr:txBody>
    </xdr:sp>
    <xdr:clientData/>
  </xdr:twoCellAnchor>
  <xdr:twoCellAnchor>
    <xdr:from>
      <xdr:col>15</xdr:col>
      <xdr:colOff>499596</xdr:colOff>
      <xdr:row>0</xdr:row>
      <xdr:rowOff>693698</xdr:rowOff>
    </xdr:from>
    <xdr:to>
      <xdr:col>18</xdr:col>
      <xdr:colOff>5469</xdr:colOff>
      <xdr:row>2</xdr:row>
      <xdr:rowOff>31482</xdr:rowOff>
    </xdr:to>
    <xdr:sp macro="" textlink="">
      <xdr:nvSpPr>
        <xdr:cNvPr id="22" name="テキスト ボックス 21">
          <a:extLst>
            <a:ext uri="{FF2B5EF4-FFF2-40B4-BE49-F238E27FC236}">
              <a16:creationId xmlns:a16="http://schemas.microsoft.com/office/drawing/2014/main" id="{00000000-0008-0000-1300-000016000000}"/>
            </a:ext>
          </a:extLst>
        </xdr:cNvPr>
        <xdr:cNvSpPr txBox="1"/>
      </xdr:nvSpPr>
      <xdr:spPr>
        <a:xfrm>
          <a:off x="10921067" y="693698"/>
          <a:ext cx="1287608" cy="301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900" b="1">
              <a:solidFill>
                <a:srgbClr val="BDC3C4"/>
              </a:solidFill>
              <a:latin typeface="メイリオ" panose="020B0604030504040204" pitchFamily="50" charset="-128"/>
              <a:ea typeface="メイリオ" panose="020B0604030504040204" pitchFamily="50" charset="-128"/>
            </a:rPr>
            <a:t>Ⅲ-1.</a:t>
          </a:r>
          <a:r>
            <a:rPr kumimoji="1" lang="ja-JP" altLang="en-US" sz="900" b="1">
              <a:solidFill>
                <a:srgbClr val="BDC3C4"/>
              </a:solidFill>
              <a:latin typeface="メイリオ" panose="020B0604030504040204" pitchFamily="50" charset="-128"/>
              <a:ea typeface="メイリオ" panose="020B0604030504040204" pitchFamily="50" charset="-128"/>
            </a:rPr>
            <a:t>セグメント</a:t>
          </a:r>
        </a:p>
      </xdr:txBody>
    </xdr:sp>
    <xdr:clientData/>
  </xdr:twoCellAnchor>
</xdr:wsDr>
</file>

<file path=xl/drawings/drawing26.xml><?xml version="1.0" encoding="utf-8"?>
<c:userShapes xmlns:c="http://schemas.openxmlformats.org/drawingml/2006/chart">
  <cdr:relSizeAnchor xmlns:cdr="http://schemas.openxmlformats.org/drawingml/2006/chartDrawing">
    <cdr:from>
      <cdr:x>0.00359</cdr:x>
      <cdr:y>0</cdr:y>
    </cdr:from>
    <cdr:to>
      <cdr:x>0.60107</cdr:x>
      <cdr:y>0.10702</cdr:y>
    </cdr:to>
    <cdr:sp macro="" textlink="">
      <cdr:nvSpPr>
        <cdr:cNvPr id="2" name="Text Box 46">
          <a:extLst xmlns:a="http://schemas.openxmlformats.org/drawingml/2006/main">
            <a:ext uri="{FF2B5EF4-FFF2-40B4-BE49-F238E27FC236}">
              <a16:creationId xmlns:a16="http://schemas.microsoft.com/office/drawing/2014/main" id="{00000000-0008-0000-0D00-000019000000}"/>
            </a:ext>
          </a:extLst>
        </cdr:cNvPr>
        <cdr:cNvSpPr txBox="1">
          <a:spLocks xmlns:a="http://schemas.openxmlformats.org/drawingml/2006/main" noChangeArrowheads="1"/>
        </cdr:cNvSpPr>
      </cdr:nvSpPr>
      <cdr:spPr bwMode="auto">
        <a:xfrm xmlns:a="http://schemas.openxmlformats.org/drawingml/2006/main">
          <a:off x="40788" y="0"/>
          <a:ext cx="6788363" cy="24296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18288"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900" b="1" i="0" u="none" strike="noStrike" baseline="0">
              <a:solidFill>
                <a:srgbClr val="000000"/>
              </a:solidFill>
              <a:latin typeface="メイリオ" panose="020B0604030504040204" pitchFamily="50" charset="-128"/>
              <a:ea typeface="メイリオ" panose="020B0604030504040204" pitchFamily="50" charset="-128"/>
            </a:rPr>
            <a:t>中古自動車等買取販売　売上推移　</a:t>
          </a:r>
          <a:r>
            <a:rPr lang="en-US" altLang="ja-JP" sz="800" b="0" i="0" u="none" strike="noStrike" baseline="0">
              <a:solidFill>
                <a:srgbClr val="000000"/>
              </a:solidFill>
              <a:latin typeface="+mj-lt"/>
              <a:ea typeface="メイリオ" panose="020B0604030504040204" pitchFamily="50" charset="-128"/>
            </a:rPr>
            <a:t>Used Vehicle Sales/Purchases - Net Sales and Operating Margin</a:t>
          </a: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873125</xdr:colOff>
      <xdr:row>35</xdr:row>
      <xdr:rowOff>74118</xdr:rowOff>
    </xdr:from>
    <xdr:to>
      <xdr:col>12</xdr:col>
      <xdr:colOff>264583</xdr:colOff>
      <xdr:row>36</xdr:row>
      <xdr:rowOff>202594</xdr:rowOff>
    </xdr:to>
    <xdr:sp macro="" textlink="">
      <xdr:nvSpPr>
        <xdr:cNvPr id="2" name="Text Box 46">
          <a:extLst>
            <a:ext uri="{FF2B5EF4-FFF2-40B4-BE49-F238E27FC236}">
              <a16:creationId xmlns:a16="http://schemas.microsoft.com/office/drawing/2014/main" id="{00000000-0008-0000-1400-00000C000000}"/>
            </a:ext>
          </a:extLst>
        </xdr:cNvPr>
        <xdr:cNvSpPr txBox="1">
          <a:spLocks noChangeArrowheads="1"/>
        </xdr:cNvSpPr>
      </xdr:nvSpPr>
      <xdr:spPr bwMode="auto">
        <a:xfrm>
          <a:off x="873125" y="7760793"/>
          <a:ext cx="9030758" cy="3380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1200" b="1" i="0" u="none" strike="noStrike" baseline="0">
              <a:solidFill>
                <a:srgbClr val="004098"/>
              </a:solidFill>
              <a:latin typeface="メイリオ" panose="020B0604030504040204" pitchFamily="50" charset="-128"/>
              <a:ea typeface="メイリオ" panose="020B0604030504040204" pitchFamily="50" charset="-128"/>
            </a:rPr>
            <a:t>スクラップ鉄価格（</a:t>
          </a:r>
          <a:r>
            <a:rPr lang="en-US" altLang="ja-JP" sz="1200" b="1" i="0" u="none" strike="noStrike" baseline="0">
              <a:solidFill>
                <a:srgbClr val="004098"/>
              </a:solidFill>
              <a:latin typeface="メイリオ" panose="020B0604030504040204" pitchFamily="50" charset="-128"/>
              <a:ea typeface="メイリオ" panose="020B0604030504040204" pitchFamily="50" charset="-128"/>
            </a:rPr>
            <a:t>H2</a:t>
          </a:r>
          <a:r>
            <a:rPr lang="ja-JP" altLang="en-US" sz="1200" b="1" i="0" u="none" strike="noStrike" baseline="0">
              <a:solidFill>
                <a:srgbClr val="004098"/>
              </a:solidFill>
              <a:latin typeface="メイリオ" panose="020B0604030504040204" pitchFamily="50" charset="-128"/>
              <a:ea typeface="メイリオ" panose="020B0604030504040204" pitchFamily="50" charset="-128"/>
            </a:rPr>
            <a:t>平均）推移　</a:t>
          </a:r>
          <a:r>
            <a:rPr lang="en-US" altLang="ja-JP" sz="1100" b="0" i="0" u="none" strike="noStrike" baseline="0">
              <a:solidFill>
                <a:srgbClr val="004098"/>
              </a:solidFill>
              <a:latin typeface="+mj-lt"/>
              <a:ea typeface="メイリオ" panose="020B0604030504040204" pitchFamily="50" charset="-128"/>
            </a:rPr>
            <a:t>Changes in Market Prices of Ferrous Scrap</a:t>
          </a:r>
          <a:r>
            <a:rPr lang="ja-JP" altLang="en-US" sz="1100" b="0" i="0" u="none" strike="noStrike" baseline="0">
              <a:solidFill>
                <a:srgbClr val="004098"/>
              </a:solidFill>
              <a:latin typeface="+mj-lt"/>
              <a:ea typeface="メイリオ" panose="020B0604030504040204" pitchFamily="50" charset="-128"/>
            </a:rPr>
            <a:t>（</a:t>
          </a:r>
          <a:r>
            <a:rPr lang="en-US" altLang="ja-JP" sz="1100" b="0" i="0" u="none" strike="noStrike" baseline="0">
              <a:solidFill>
                <a:srgbClr val="004098"/>
              </a:solidFill>
              <a:latin typeface="+mj-lt"/>
              <a:ea typeface="メイリオ" panose="020B0604030504040204" pitchFamily="50" charset="-128"/>
            </a:rPr>
            <a:t>Average for grade H2</a:t>
          </a:r>
          <a:r>
            <a:rPr lang="ja-JP" altLang="en-US" sz="1100" b="0" i="0" u="none" strike="noStrike" baseline="0">
              <a:solidFill>
                <a:srgbClr val="004098"/>
              </a:solidFill>
              <a:latin typeface="+mj-lt"/>
              <a:ea typeface="メイリオ" panose="020B0604030504040204" pitchFamily="50" charset="-128"/>
            </a:rPr>
            <a:t>）</a:t>
          </a:r>
          <a:endParaRPr lang="en-US" altLang="ja-JP" sz="1100" b="0" i="0" u="none" strike="noStrike" baseline="0">
            <a:solidFill>
              <a:srgbClr val="004098"/>
            </a:solidFill>
            <a:latin typeface="+mj-lt"/>
            <a:ea typeface="メイリオ" panose="020B0604030504040204" pitchFamily="50" charset="-128"/>
          </a:endParaRPr>
        </a:p>
      </xdr:txBody>
    </xdr:sp>
    <xdr:clientData/>
  </xdr:twoCellAnchor>
  <xdr:twoCellAnchor>
    <xdr:from>
      <xdr:col>9</xdr:col>
      <xdr:colOff>391585</xdr:colOff>
      <xdr:row>44</xdr:row>
      <xdr:rowOff>18113</xdr:rowOff>
    </xdr:from>
    <xdr:to>
      <xdr:col>18</xdr:col>
      <xdr:colOff>345848</xdr:colOff>
      <xdr:row>45</xdr:row>
      <xdr:rowOff>27520</xdr:rowOff>
    </xdr:to>
    <xdr:sp macro="" textlink="">
      <xdr:nvSpPr>
        <xdr:cNvPr id="3" name="Text Box 46">
          <a:extLst>
            <a:ext uri="{FF2B5EF4-FFF2-40B4-BE49-F238E27FC236}">
              <a16:creationId xmlns:a16="http://schemas.microsoft.com/office/drawing/2014/main" id="{00000000-0008-0000-1400-000003000000}"/>
            </a:ext>
          </a:extLst>
        </xdr:cNvPr>
        <xdr:cNvSpPr txBox="1">
          <a:spLocks noChangeArrowheads="1"/>
        </xdr:cNvSpPr>
      </xdr:nvSpPr>
      <xdr:spPr bwMode="auto">
        <a:xfrm>
          <a:off x="8134850" y="6640789"/>
          <a:ext cx="6509704" cy="311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18288" rIns="27432" bIns="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900" b="1" i="0" u="none" strike="noStrike" baseline="0">
              <a:solidFill>
                <a:srgbClr val="000000"/>
              </a:solidFill>
              <a:latin typeface="メイリオ" panose="020B0604030504040204" pitchFamily="50" charset="-128"/>
              <a:ea typeface="メイリオ" panose="020B0604030504040204" pitchFamily="50" charset="-128"/>
            </a:rPr>
            <a:t>スクラップ鉄価格推移（</a:t>
          </a:r>
          <a:r>
            <a:rPr lang="en-US" altLang="ja-JP" sz="900" b="1" i="0" u="none" strike="noStrike" baseline="0">
              <a:solidFill>
                <a:srgbClr val="000000"/>
              </a:solidFill>
              <a:latin typeface="メイリオ" panose="020B0604030504040204" pitchFamily="50" charset="-128"/>
              <a:ea typeface="メイリオ" panose="020B0604030504040204" pitchFamily="50" charset="-128"/>
            </a:rPr>
            <a:t>H2</a:t>
          </a:r>
          <a:r>
            <a:rPr lang="ja-JP" altLang="en-US" sz="900" b="1" i="0" u="none" strike="noStrike" baseline="0">
              <a:solidFill>
                <a:srgbClr val="000000"/>
              </a:solidFill>
              <a:latin typeface="メイリオ" panose="020B0604030504040204" pitchFamily="50" charset="-128"/>
              <a:ea typeface="メイリオ" panose="020B0604030504040204" pitchFamily="50" charset="-128"/>
            </a:rPr>
            <a:t>平均）　</a:t>
          </a:r>
          <a:r>
            <a:rPr lang="en-US" altLang="ja-JP" sz="800" b="0" i="0" u="none" strike="noStrike" baseline="0">
              <a:solidFill>
                <a:srgbClr val="000000"/>
              </a:solidFill>
              <a:latin typeface="+mj-lt"/>
              <a:ea typeface="メイリオ" panose="020B0604030504040204" pitchFamily="50" charset="-128"/>
            </a:rPr>
            <a:t>Changes in Market Prices of Ferrous</a:t>
          </a:r>
          <a:r>
            <a:rPr lang="ja-JP" altLang="en-US" sz="800" b="0" i="0" u="none" strike="noStrike" baseline="0">
              <a:solidFill>
                <a:srgbClr val="000000"/>
              </a:solidFill>
              <a:latin typeface="+mj-lt"/>
              <a:ea typeface="メイリオ" panose="020B0604030504040204" pitchFamily="50" charset="-128"/>
            </a:rPr>
            <a:t> </a:t>
          </a:r>
          <a:r>
            <a:rPr lang="en-US" altLang="ja-JP" sz="800" b="0" i="0" u="none" strike="noStrike" baseline="0">
              <a:solidFill>
                <a:srgbClr val="000000"/>
              </a:solidFill>
              <a:latin typeface="+mj-lt"/>
              <a:ea typeface="メイリオ" panose="020B0604030504040204" pitchFamily="50" charset="-128"/>
            </a:rPr>
            <a:t>Scrap</a:t>
          </a:r>
          <a:r>
            <a:rPr lang="ja-JP" altLang="en-US" sz="800" b="0" i="0" u="none" strike="noStrike" baseline="0">
              <a:solidFill>
                <a:srgbClr val="000000"/>
              </a:solidFill>
              <a:latin typeface="+mj-lt"/>
              <a:ea typeface="メイリオ" panose="020B0604030504040204" pitchFamily="50" charset="-128"/>
            </a:rPr>
            <a:t>（</a:t>
          </a:r>
          <a:r>
            <a:rPr lang="en-US" altLang="ja-JP" sz="800" b="0" i="0" u="none" strike="noStrike" baseline="0">
              <a:solidFill>
                <a:srgbClr val="000000"/>
              </a:solidFill>
              <a:latin typeface="+mj-lt"/>
              <a:ea typeface="メイリオ" panose="020B0604030504040204" pitchFamily="50" charset="-128"/>
            </a:rPr>
            <a:t>Average for grade H2</a:t>
          </a:r>
          <a:r>
            <a:rPr lang="ja-JP" altLang="en-US" sz="800" b="0" i="0" u="none" strike="noStrike" baseline="0">
              <a:solidFill>
                <a:srgbClr val="000000"/>
              </a:solidFill>
              <a:latin typeface="+mj-lt"/>
              <a:ea typeface="メイリオ" panose="020B0604030504040204" pitchFamily="50" charset="-128"/>
            </a:rPr>
            <a:t>）</a:t>
          </a:r>
          <a:endParaRPr lang="en-US" altLang="ja-JP" sz="800" b="0" i="0" u="none" strike="noStrike" baseline="0">
            <a:solidFill>
              <a:srgbClr val="000000"/>
            </a:solidFill>
            <a:latin typeface="+mj-lt"/>
            <a:ea typeface="メイリオ" panose="020B0604030504040204" pitchFamily="50" charset="-128"/>
          </a:endParaRPr>
        </a:p>
      </xdr:txBody>
    </xdr:sp>
    <xdr:clientData/>
  </xdr:twoCellAnchor>
  <xdr:twoCellAnchor>
    <xdr:from>
      <xdr:col>0</xdr:col>
      <xdr:colOff>844109</xdr:colOff>
      <xdr:row>44</xdr:row>
      <xdr:rowOff>65554</xdr:rowOff>
    </xdr:from>
    <xdr:to>
      <xdr:col>12</xdr:col>
      <xdr:colOff>522092</xdr:colOff>
      <xdr:row>60</xdr:row>
      <xdr:rowOff>33057</xdr:rowOff>
    </xdr:to>
    <xdr:grpSp>
      <xdr:nvGrpSpPr>
        <xdr:cNvPr id="4" name="グループ化 3">
          <a:extLst>
            <a:ext uri="{FF2B5EF4-FFF2-40B4-BE49-F238E27FC236}">
              <a16:creationId xmlns:a16="http://schemas.microsoft.com/office/drawing/2014/main" id="{00000000-0008-0000-1400-000010000000}"/>
            </a:ext>
          </a:extLst>
        </xdr:cNvPr>
        <xdr:cNvGrpSpPr/>
      </xdr:nvGrpSpPr>
      <xdr:grpSpPr>
        <a:xfrm>
          <a:off x="807811" y="6482057"/>
          <a:ext cx="9176725" cy="3020652"/>
          <a:chOff x="843162" y="8744427"/>
          <a:chExt cx="9311713" cy="3302276"/>
        </a:xfrm>
      </xdr:grpSpPr>
      <xdr:graphicFrame macro="">
        <xdr:nvGraphicFramePr>
          <xdr:cNvPr id="5" name="グラフ 26">
            <a:extLst>
              <a:ext uri="{FF2B5EF4-FFF2-40B4-BE49-F238E27FC236}">
                <a16:creationId xmlns:a16="http://schemas.microsoft.com/office/drawing/2014/main" id="{00000000-0008-0000-1400-000004000000}"/>
              </a:ext>
            </a:extLst>
          </xdr:cNvPr>
          <xdr:cNvGraphicFramePr>
            <a:graphicFrameLocks/>
          </xdr:cNvGraphicFramePr>
        </xdr:nvGraphicFramePr>
        <xdr:xfrm>
          <a:off x="930240" y="8744427"/>
          <a:ext cx="9224635" cy="330227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6" name="Text Box 18">
            <a:extLst>
              <a:ext uri="{FF2B5EF4-FFF2-40B4-BE49-F238E27FC236}">
                <a16:creationId xmlns:a16="http://schemas.microsoft.com/office/drawing/2014/main" id="{00000000-0008-0000-1400-000007000000}"/>
              </a:ext>
            </a:extLst>
          </xdr:cNvPr>
          <xdr:cNvSpPr txBox="1">
            <a:spLocks noChangeArrowheads="1"/>
          </xdr:cNvSpPr>
        </xdr:nvSpPr>
        <xdr:spPr bwMode="auto">
          <a:xfrm>
            <a:off x="843162" y="9102128"/>
            <a:ext cx="1405618" cy="166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l" rtl="0">
              <a:defRPr sz="1000"/>
            </a:pP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600" b="0" i="0" u="none" strike="noStrike" baseline="0">
                <a:solidFill>
                  <a:srgbClr val="000000"/>
                </a:solidFill>
                <a:latin typeface="メイリオ" panose="020B0604030504040204" pitchFamily="50" charset="-128"/>
                <a:ea typeface="メイリオ" panose="020B0604030504040204" pitchFamily="50" charset="-128"/>
              </a:rPr>
              <a:t>百万円　</a:t>
            </a:r>
            <a:r>
              <a:rPr lang="en-US" altLang="ja-JP" sz="600" b="0" i="0" u="none" strike="noStrike" baseline="0">
                <a:solidFill>
                  <a:srgbClr val="000000"/>
                </a:solidFill>
                <a:latin typeface="+mj-lt"/>
                <a:ea typeface="メイリオ" panose="020B0604030504040204" pitchFamily="50" charset="-128"/>
              </a:rPr>
              <a:t>Million Yen</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p>
        </xdr:txBody>
      </xdr:sp>
      <xdr:sp macro="" textlink="">
        <xdr:nvSpPr>
          <xdr:cNvPr id="7" name="Text Box 23">
            <a:extLst>
              <a:ext uri="{FF2B5EF4-FFF2-40B4-BE49-F238E27FC236}">
                <a16:creationId xmlns:a16="http://schemas.microsoft.com/office/drawing/2014/main" id="{00000000-0008-0000-1400-000008000000}"/>
              </a:ext>
            </a:extLst>
          </xdr:cNvPr>
          <xdr:cNvSpPr txBox="1">
            <a:spLocks noChangeArrowheads="1"/>
          </xdr:cNvSpPr>
        </xdr:nvSpPr>
        <xdr:spPr bwMode="auto">
          <a:xfrm>
            <a:off x="6795786" y="9168986"/>
            <a:ext cx="447771" cy="1663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600" b="0" i="0" u="none" strike="noStrike" baseline="0">
                <a:solidFill>
                  <a:srgbClr val="000000"/>
                </a:solidFill>
                <a:latin typeface="メイリオ" panose="020B0604030504040204" pitchFamily="50" charset="-128"/>
                <a:ea typeface="メイリオ" panose="020B0604030504040204" pitchFamily="50" charset="-128"/>
              </a:rPr>
              <a:t>％</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p>
        </xdr:txBody>
      </xdr:sp>
    </xdr:grpSp>
    <xdr:clientData/>
  </xdr:twoCellAnchor>
  <xdr:twoCellAnchor>
    <xdr:from>
      <xdr:col>0</xdr:col>
      <xdr:colOff>706439</xdr:colOff>
      <xdr:row>0</xdr:row>
      <xdr:rowOff>778164</xdr:rowOff>
    </xdr:from>
    <xdr:to>
      <xdr:col>9</xdr:col>
      <xdr:colOff>704850</xdr:colOff>
      <xdr:row>2</xdr:row>
      <xdr:rowOff>45306</xdr:rowOff>
    </xdr:to>
    <xdr:sp macro="" textlink="">
      <xdr:nvSpPr>
        <xdr:cNvPr id="8" name="テキスト ボックス 7">
          <a:extLst>
            <a:ext uri="{FF2B5EF4-FFF2-40B4-BE49-F238E27FC236}">
              <a16:creationId xmlns:a16="http://schemas.microsoft.com/office/drawing/2014/main" id="{00000000-0008-0000-1400-000009000000}"/>
            </a:ext>
          </a:extLst>
        </xdr:cNvPr>
        <xdr:cNvSpPr txBox="1"/>
      </xdr:nvSpPr>
      <xdr:spPr>
        <a:xfrm>
          <a:off x="706439" y="778164"/>
          <a:ext cx="7466011" cy="372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メイリオ" panose="020B0604030504040204" pitchFamily="50" charset="-128"/>
              <a:ea typeface="メイリオ" panose="020B0604030504040204" pitchFamily="50" charset="-128"/>
            </a:rPr>
            <a:t>（８）リサイクル － セグメント売上推移　</a:t>
          </a:r>
          <a:r>
            <a:rPr kumimoji="1" lang="en-US" altLang="ja-JP" sz="1200" b="0">
              <a:latin typeface="+mj-lt"/>
              <a:ea typeface="メイリオ" panose="020B0604030504040204" pitchFamily="50" charset="-128"/>
            </a:rPr>
            <a:t>Recycling</a:t>
          </a:r>
          <a:r>
            <a:rPr kumimoji="1" lang="en-US" altLang="ja-JP" sz="1100" b="0">
              <a:solidFill>
                <a:schemeClr val="dk1"/>
              </a:solidFill>
              <a:effectLst/>
              <a:latin typeface="+mn-lt"/>
              <a:ea typeface="+mn-ea"/>
              <a:cs typeface="+mn-cs"/>
            </a:rPr>
            <a:t> Business </a:t>
          </a:r>
          <a:r>
            <a:rPr kumimoji="1" lang="en-US" altLang="ja-JP" sz="1200" b="0">
              <a:latin typeface="+mj-lt"/>
              <a:ea typeface="メイリオ" panose="020B0604030504040204" pitchFamily="50" charset="-128"/>
            </a:rPr>
            <a:t> - Sales Composition</a:t>
          </a:r>
          <a:endParaRPr kumimoji="1" lang="ja-JP" altLang="en-US" sz="1400" b="0">
            <a:latin typeface="+mj-lt"/>
            <a:ea typeface="メイリオ" panose="020B0604030504040204" pitchFamily="50" charset="-128"/>
          </a:endParaRPr>
        </a:p>
      </xdr:txBody>
    </xdr:sp>
    <xdr:clientData/>
  </xdr:twoCellAnchor>
  <xdr:twoCellAnchor>
    <xdr:from>
      <xdr:col>0</xdr:col>
      <xdr:colOff>878568</xdr:colOff>
      <xdr:row>2</xdr:row>
      <xdr:rowOff>737280</xdr:rowOff>
    </xdr:from>
    <xdr:to>
      <xdr:col>9</xdr:col>
      <xdr:colOff>625816</xdr:colOff>
      <xdr:row>3</xdr:row>
      <xdr:rowOff>334849</xdr:rowOff>
    </xdr:to>
    <xdr:sp macro="" textlink="">
      <xdr:nvSpPr>
        <xdr:cNvPr id="9" name="Text Box 46">
          <a:extLst>
            <a:ext uri="{FF2B5EF4-FFF2-40B4-BE49-F238E27FC236}">
              <a16:creationId xmlns:a16="http://schemas.microsoft.com/office/drawing/2014/main" id="{00000000-0008-0000-1400-00000A000000}"/>
            </a:ext>
          </a:extLst>
        </xdr:cNvPr>
        <xdr:cNvSpPr txBox="1">
          <a:spLocks noChangeArrowheads="1"/>
        </xdr:cNvSpPr>
      </xdr:nvSpPr>
      <xdr:spPr bwMode="auto">
        <a:xfrm>
          <a:off x="878568" y="1575480"/>
          <a:ext cx="7214848" cy="3214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1200" b="1" i="0" u="none" strike="noStrike" baseline="0">
              <a:solidFill>
                <a:srgbClr val="004098"/>
              </a:solidFill>
              <a:latin typeface="メイリオ" panose="020B0604030504040204" pitchFamily="50" charset="-128"/>
              <a:ea typeface="メイリオ" panose="020B0604030504040204" pitchFamily="50" charset="-128"/>
            </a:rPr>
            <a:t>リサイクル－ セグメント売上推移　</a:t>
          </a:r>
          <a:r>
            <a:rPr lang="en-US" altLang="ja-JP" sz="1100" b="0" i="0" u="none" strike="noStrike" baseline="0">
              <a:solidFill>
                <a:srgbClr val="004098"/>
              </a:solidFill>
              <a:latin typeface="+mj-lt"/>
              <a:ea typeface="メイリオ" panose="020B0604030504040204" pitchFamily="50" charset="-128"/>
            </a:rPr>
            <a:t>Recycling Business - Sales Composition</a:t>
          </a:r>
        </a:p>
      </xdr:txBody>
    </xdr:sp>
    <xdr:clientData/>
  </xdr:twoCellAnchor>
  <xdr:twoCellAnchor>
    <xdr:from>
      <xdr:col>0</xdr:col>
      <xdr:colOff>884582</xdr:colOff>
      <xdr:row>43</xdr:row>
      <xdr:rowOff>188997</xdr:rowOff>
    </xdr:from>
    <xdr:to>
      <xdr:col>7</xdr:col>
      <xdr:colOff>190499</xdr:colOff>
      <xdr:row>44</xdr:row>
      <xdr:rowOff>225342</xdr:rowOff>
    </xdr:to>
    <xdr:sp macro="" textlink="">
      <xdr:nvSpPr>
        <xdr:cNvPr id="10" name="Text Box 46">
          <a:extLst>
            <a:ext uri="{FF2B5EF4-FFF2-40B4-BE49-F238E27FC236}">
              <a16:creationId xmlns:a16="http://schemas.microsoft.com/office/drawing/2014/main" id="{00000000-0008-0000-1400-00000B000000}"/>
            </a:ext>
          </a:extLst>
        </xdr:cNvPr>
        <xdr:cNvSpPr txBox="1">
          <a:spLocks noChangeArrowheads="1"/>
        </xdr:cNvSpPr>
      </xdr:nvSpPr>
      <xdr:spPr bwMode="auto">
        <a:xfrm>
          <a:off x="884582" y="9685422"/>
          <a:ext cx="5325717" cy="2458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18288" rIns="27432" bIns="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900" b="1" i="0" u="none" strike="noStrike" baseline="0">
              <a:solidFill>
                <a:srgbClr val="000000"/>
              </a:solidFill>
              <a:latin typeface="メイリオ" panose="020B0604030504040204" pitchFamily="50" charset="-128"/>
              <a:ea typeface="メイリオ" panose="020B0604030504040204" pitchFamily="50" charset="-128"/>
            </a:rPr>
            <a:t>リサイクル　売上推移　</a:t>
          </a:r>
          <a:r>
            <a:rPr lang="en-US" altLang="ja-JP" sz="800" b="0" i="0" u="none" strike="noStrike" baseline="0">
              <a:solidFill>
                <a:srgbClr val="000000"/>
              </a:solidFill>
              <a:latin typeface="+mj-lt"/>
              <a:ea typeface="メイリオ" panose="020B0604030504040204" pitchFamily="50" charset="-128"/>
            </a:rPr>
            <a:t>Recycling Business  - Net Sales and Operating Margin</a:t>
          </a:r>
        </a:p>
      </xdr:txBody>
    </xdr:sp>
    <xdr:clientData/>
  </xdr:twoCellAnchor>
  <xdr:twoCellAnchor>
    <xdr:from>
      <xdr:col>15</xdr:col>
      <xdr:colOff>358307</xdr:colOff>
      <xdr:row>0</xdr:row>
      <xdr:rowOff>823913</xdr:rowOff>
    </xdr:from>
    <xdr:to>
      <xdr:col>18</xdr:col>
      <xdr:colOff>29975</xdr:colOff>
      <xdr:row>2</xdr:row>
      <xdr:rowOff>80963</xdr:rowOff>
    </xdr:to>
    <xdr:sp macro="" textlink="">
      <xdr:nvSpPr>
        <xdr:cNvPr id="12" name="テキスト ボックス 11">
          <a:extLst>
            <a:ext uri="{FF2B5EF4-FFF2-40B4-BE49-F238E27FC236}">
              <a16:creationId xmlns:a16="http://schemas.microsoft.com/office/drawing/2014/main" id="{00000000-0008-0000-1400-00000E000000}"/>
            </a:ext>
          </a:extLst>
        </xdr:cNvPr>
        <xdr:cNvSpPr txBox="1"/>
      </xdr:nvSpPr>
      <xdr:spPr>
        <a:xfrm>
          <a:off x="12471866" y="823913"/>
          <a:ext cx="1856815" cy="366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b="1">
              <a:solidFill>
                <a:srgbClr val="BDC3C4"/>
              </a:solidFill>
              <a:latin typeface="メイリオ" panose="020B0604030504040204" pitchFamily="50" charset="-128"/>
              <a:ea typeface="メイリオ" panose="020B0604030504040204" pitchFamily="50" charset="-128"/>
            </a:rPr>
            <a:t>Ⅲ-1.</a:t>
          </a:r>
          <a:r>
            <a:rPr kumimoji="1" lang="ja-JP" altLang="en-US" sz="1100" b="1">
              <a:solidFill>
                <a:srgbClr val="BDC3C4"/>
              </a:solidFill>
              <a:latin typeface="メイリオ" panose="020B0604030504040204" pitchFamily="50" charset="-128"/>
              <a:ea typeface="メイリオ" panose="020B0604030504040204" pitchFamily="50" charset="-128"/>
            </a:rPr>
            <a:t>セグメント</a:t>
          </a:r>
        </a:p>
      </xdr:txBody>
    </xdr:sp>
    <xdr:clientData/>
  </xdr:twoCellAnchor>
  <xdr:twoCellAnchor>
    <xdr:from>
      <xdr:col>9</xdr:col>
      <xdr:colOff>253794</xdr:colOff>
      <xdr:row>45</xdr:row>
      <xdr:rowOff>99723</xdr:rowOff>
    </xdr:from>
    <xdr:to>
      <xdr:col>18</xdr:col>
      <xdr:colOff>304804</xdr:colOff>
      <xdr:row>61</xdr:row>
      <xdr:rowOff>108384</xdr:rowOff>
    </xdr:to>
    <xdr:grpSp>
      <xdr:nvGrpSpPr>
        <xdr:cNvPr id="13" name="グループ化 12">
          <a:extLst>
            <a:ext uri="{FF2B5EF4-FFF2-40B4-BE49-F238E27FC236}">
              <a16:creationId xmlns:a16="http://schemas.microsoft.com/office/drawing/2014/main" id="{00000000-0008-0000-1400-000011000000}"/>
            </a:ext>
          </a:extLst>
        </xdr:cNvPr>
        <xdr:cNvGrpSpPr/>
      </xdr:nvGrpSpPr>
      <xdr:grpSpPr>
        <a:xfrm>
          <a:off x="7645451" y="6802748"/>
          <a:ext cx="6295034" cy="3032720"/>
          <a:chOff x="7721551" y="9125927"/>
          <a:chExt cx="6743750" cy="3163855"/>
        </a:xfrm>
      </xdr:grpSpPr>
      <xdr:graphicFrame macro="">
        <xdr:nvGraphicFramePr>
          <xdr:cNvPr id="14" name="グラフ 17">
            <a:extLst>
              <a:ext uri="{FF2B5EF4-FFF2-40B4-BE49-F238E27FC236}">
                <a16:creationId xmlns:a16="http://schemas.microsoft.com/office/drawing/2014/main" id="{00000000-0008-0000-1400-000002000000}"/>
              </a:ext>
            </a:extLst>
          </xdr:cNvPr>
          <xdr:cNvGraphicFramePr>
            <a:graphicFrameLocks/>
          </xdr:cNvGraphicFramePr>
        </xdr:nvGraphicFramePr>
        <xdr:xfrm>
          <a:off x="7818671" y="9163769"/>
          <a:ext cx="6062624" cy="3126013"/>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5" name="Text Box 38">
            <a:extLst>
              <a:ext uri="{FF2B5EF4-FFF2-40B4-BE49-F238E27FC236}">
                <a16:creationId xmlns:a16="http://schemas.microsoft.com/office/drawing/2014/main" id="{00000000-0008-0000-1400-000006000000}"/>
              </a:ext>
            </a:extLst>
          </xdr:cNvPr>
          <xdr:cNvSpPr txBox="1">
            <a:spLocks noChangeArrowheads="1"/>
          </xdr:cNvSpPr>
        </xdr:nvSpPr>
        <xdr:spPr bwMode="auto">
          <a:xfrm>
            <a:off x="13614203" y="11056647"/>
            <a:ext cx="851098" cy="2917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600" b="0" i="0" u="none" strike="noStrike" baseline="0">
                <a:solidFill>
                  <a:srgbClr val="000000"/>
                </a:solidFill>
                <a:latin typeface="メイリオ" panose="020B0604030504040204" pitchFamily="50" charset="-128"/>
                <a:ea typeface="メイリオ" panose="020B0604030504040204" pitchFamily="50" charset="-128"/>
              </a:rPr>
              <a:t>期　</a:t>
            </a:r>
            <a:r>
              <a:rPr lang="en-US" altLang="ja-JP" sz="600" b="0" i="0" u="none" strike="noStrike" baseline="0">
                <a:solidFill>
                  <a:srgbClr val="000000"/>
                </a:solidFill>
                <a:latin typeface="+mj-lt"/>
                <a:ea typeface="メイリオ" panose="020B0604030504040204" pitchFamily="50" charset="-128"/>
              </a:rPr>
              <a:t>FY</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p>
        </xdr:txBody>
      </xdr:sp>
      <xdr:sp macro="" textlink="">
        <xdr:nvSpPr>
          <xdr:cNvPr id="16" name="Text Box 19">
            <a:extLst>
              <a:ext uri="{FF2B5EF4-FFF2-40B4-BE49-F238E27FC236}">
                <a16:creationId xmlns:a16="http://schemas.microsoft.com/office/drawing/2014/main" id="{00000000-0008-0000-1400-00000F000000}"/>
              </a:ext>
            </a:extLst>
          </xdr:cNvPr>
          <xdr:cNvSpPr txBox="1">
            <a:spLocks noChangeArrowheads="1"/>
          </xdr:cNvSpPr>
        </xdr:nvSpPr>
        <xdr:spPr bwMode="auto">
          <a:xfrm>
            <a:off x="7721551" y="9125927"/>
            <a:ext cx="1880785" cy="1915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l" rtl="0">
              <a:defRPr sz="1000"/>
            </a:pP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600" b="0" i="0" u="none" strike="noStrike" baseline="0">
                <a:solidFill>
                  <a:srgbClr val="000000"/>
                </a:solidFill>
                <a:latin typeface="メイリオ" panose="020B0604030504040204" pitchFamily="50" charset="-128"/>
                <a:ea typeface="メイリオ" panose="020B0604030504040204" pitchFamily="50" charset="-128"/>
              </a:rPr>
              <a:t>円</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/M</a:t>
            </a:r>
            <a:r>
              <a:rPr lang="ja-JP" altLang="en-US" sz="600" b="0" i="0" u="none" strike="noStrike" baseline="0">
                <a:solidFill>
                  <a:srgbClr val="000000"/>
                </a:solidFill>
                <a:latin typeface="メイリオ" panose="020B0604030504040204" pitchFamily="50" charset="-128"/>
                <a:ea typeface="メイリオ" panose="020B0604030504040204" pitchFamily="50" charset="-128"/>
              </a:rPr>
              <a:t>ｔ   </a:t>
            </a:r>
            <a:r>
              <a:rPr lang="en-US" altLang="ja-JP" sz="600" b="0" i="0" u="none" strike="noStrike" baseline="0">
                <a:solidFill>
                  <a:srgbClr val="000000"/>
                </a:solidFill>
                <a:latin typeface="+mj-lt"/>
                <a:ea typeface="メイリオ" panose="020B0604030504040204" pitchFamily="50" charset="-128"/>
              </a:rPr>
              <a:t>Yen/Mt</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p>
        </xdr:txBody>
      </xdr:sp>
    </xdr:grpSp>
    <xdr:clientData/>
  </xdr:twoCellAnchor>
  <xdr:twoCellAnchor>
    <xdr:from>
      <xdr:col>8</xdr:col>
      <xdr:colOff>84370</xdr:colOff>
      <xdr:row>57</xdr:row>
      <xdr:rowOff>139681</xdr:rowOff>
    </xdr:from>
    <xdr:to>
      <xdr:col>9</xdr:col>
      <xdr:colOff>190429</xdr:colOff>
      <xdr:row>58</xdr:row>
      <xdr:rowOff>9212</xdr:rowOff>
    </xdr:to>
    <xdr:sp macro="" textlink="">
      <xdr:nvSpPr>
        <xdr:cNvPr id="17" name="Text Box 38">
          <a:extLst>
            <a:ext uri="{FF2B5EF4-FFF2-40B4-BE49-F238E27FC236}">
              <a16:creationId xmlns:a16="http://schemas.microsoft.com/office/drawing/2014/main" id="{00000000-0008-0000-1400-000005000000}"/>
            </a:ext>
          </a:extLst>
        </xdr:cNvPr>
        <xdr:cNvSpPr txBox="1">
          <a:spLocks noChangeArrowheads="1"/>
        </xdr:cNvSpPr>
      </xdr:nvSpPr>
      <xdr:spPr bwMode="auto">
        <a:xfrm>
          <a:off x="7085245" y="9255106"/>
          <a:ext cx="829959" cy="1457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600" b="0" i="0" u="none" strike="noStrike" baseline="0">
              <a:solidFill>
                <a:srgbClr val="000000"/>
              </a:solidFill>
              <a:latin typeface="メイリオ" panose="020B0604030504040204" pitchFamily="50" charset="-128"/>
              <a:ea typeface="メイリオ" panose="020B0604030504040204" pitchFamily="50" charset="-128"/>
            </a:rPr>
            <a:t>期　</a:t>
          </a:r>
          <a:r>
            <a:rPr lang="en-US" altLang="ja-JP" sz="600" b="0" i="0" u="none" strike="noStrike" baseline="0">
              <a:solidFill>
                <a:srgbClr val="000000"/>
              </a:solidFill>
              <a:latin typeface="+mj-lt"/>
              <a:ea typeface="メイリオ" panose="020B0604030504040204" pitchFamily="50" charset="-128"/>
            </a:rPr>
            <a:t>FY</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1</xdr:col>
      <xdr:colOff>0</xdr:colOff>
      <xdr:row>15</xdr:row>
      <xdr:rowOff>38100</xdr:rowOff>
    </xdr:from>
    <xdr:to>
      <xdr:col>9</xdr:col>
      <xdr:colOff>652123</xdr:colOff>
      <xdr:row>16</xdr:row>
      <xdr:rowOff>178594</xdr:rowOff>
    </xdr:to>
    <xdr:sp macro="" textlink="">
      <xdr:nvSpPr>
        <xdr:cNvPr id="18" name="Text Box 46">
          <a:extLst>
            <a:ext uri="{FF2B5EF4-FFF2-40B4-BE49-F238E27FC236}">
              <a16:creationId xmlns:a16="http://schemas.microsoft.com/office/drawing/2014/main" id="{00000000-0008-0000-1400-00000A000000}"/>
            </a:ext>
          </a:extLst>
        </xdr:cNvPr>
        <xdr:cNvSpPr txBox="1">
          <a:spLocks noChangeArrowheads="1"/>
        </xdr:cNvSpPr>
      </xdr:nvSpPr>
      <xdr:spPr bwMode="auto">
        <a:xfrm>
          <a:off x="904875" y="4210050"/>
          <a:ext cx="7214848" cy="3214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1200" b="1" i="0" u="none" strike="noStrike" baseline="0">
              <a:solidFill>
                <a:srgbClr val="004098"/>
              </a:solidFill>
              <a:latin typeface="メイリオ" panose="020B0604030504040204" pitchFamily="50" charset="-128"/>
              <a:ea typeface="メイリオ" panose="020B0604030504040204" pitchFamily="50" charset="-128"/>
            </a:rPr>
            <a:t>その他 － セグメント売上推移　</a:t>
          </a:r>
          <a:r>
            <a:rPr lang="en-US" altLang="ja-JP" sz="1100" b="0" i="0" u="none" strike="noStrike" baseline="0">
              <a:solidFill>
                <a:srgbClr val="004098"/>
              </a:solidFill>
              <a:latin typeface="+mj-lt"/>
              <a:ea typeface="メイリオ" panose="020B0604030504040204" pitchFamily="50" charset="-128"/>
            </a:rPr>
            <a:t>Other Business   - Sales Composition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635000</xdr:colOff>
      <xdr:row>29</xdr:row>
      <xdr:rowOff>139701</xdr:rowOff>
    </xdr:from>
    <xdr:to>
      <xdr:col>16</xdr:col>
      <xdr:colOff>47625</xdr:colOff>
      <xdr:row>41</xdr:row>
      <xdr:rowOff>95251</xdr:rowOff>
    </xdr:to>
    <xdr:graphicFrame macro="">
      <xdr:nvGraphicFramePr>
        <xdr:cNvPr id="86193" name="グラフ 18">
          <a:extLst>
            <a:ext uri="{FF2B5EF4-FFF2-40B4-BE49-F238E27FC236}">
              <a16:creationId xmlns:a16="http://schemas.microsoft.com/office/drawing/2014/main" id="{00000000-0008-0000-1500-0000B15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30</xdr:row>
      <xdr:rowOff>163233</xdr:rowOff>
    </xdr:from>
    <xdr:to>
      <xdr:col>1</xdr:col>
      <xdr:colOff>1400175</xdr:colOff>
      <xdr:row>31</xdr:row>
      <xdr:rowOff>153708</xdr:rowOff>
    </xdr:to>
    <xdr:sp macro="" textlink="">
      <xdr:nvSpPr>
        <xdr:cNvPr id="86035" name="Text Box 19">
          <a:extLst>
            <a:ext uri="{FF2B5EF4-FFF2-40B4-BE49-F238E27FC236}">
              <a16:creationId xmlns:a16="http://schemas.microsoft.com/office/drawing/2014/main" id="{00000000-0008-0000-1500-000013500100}"/>
            </a:ext>
          </a:extLst>
        </xdr:cNvPr>
        <xdr:cNvSpPr txBox="1">
          <a:spLocks noChangeArrowheads="1"/>
        </xdr:cNvSpPr>
      </xdr:nvSpPr>
      <xdr:spPr bwMode="auto">
        <a:xfrm>
          <a:off x="787400" y="6449733"/>
          <a:ext cx="13906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l" rtl="0">
            <a:defRPr sz="1000"/>
          </a:pP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600" b="0" i="0" u="none" strike="noStrike" baseline="0">
              <a:solidFill>
                <a:srgbClr val="000000"/>
              </a:solidFill>
              <a:latin typeface="メイリオ" panose="020B0604030504040204" pitchFamily="50" charset="-128"/>
              <a:ea typeface="メイリオ" panose="020B0604030504040204" pitchFamily="50" charset="-128"/>
            </a:rPr>
            <a:t>百万円　</a:t>
          </a:r>
          <a:r>
            <a:rPr lang="en-US" altLang="ja-JP" sz="600" b="0" i="0" u="none" strike="noStrike" baseline="0">
              <a:solidFill>
                <a:srgbClr val="000000"/>
              </a:solidFill>
              <a:latin typeface="+mj-lt"/>
              <a:ea typeface="メイリオ" panose="020B0604030504040204" pitchFamily="50" charset="-128"/>
            </a:rPr>
            <a:t>Million Yen</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12</xdr:col>
      <xdr:colOff>367553</xdr:colOff>
      <xdr:row>30</xdr:row>
      <xdr:rowOff>177240</xdr:rowOff>
    </xdr:from>
    <xdr:to>
      <xdr:col>13</xdr:col>
      <xdr:colOff>262778</xdr:colOff>
      <xdr:row>31</xdr:row>
      <xdr:rowOff>167715</xdr:rowOff>
    </xdr:to>
    <xdr:sp macro="" textlink="">
      <xdr:nvSpPr>
        <xdr:cNvPr id="86036" name="Text Box 20">
          <a:extLst>
            <a:ext uri="{FF2B5EF4-FFF2-40B4-BE49-F238E27FC236}">
              <a16:creationId xmlns:a16="http://schemas.microsoft.com/office/drawing/2014/main" id="{00000000-0008-0000-1500-000014500100}"/>
            </a:ext>
          </a:extLst>
        </xdr:cNvPr>
        <xdr:cNvSpPr txBox="1">
          <a:spLocks noChangeArrowheads="1"/>
        </xdr:cNvSpPr>
      </xdr:nvSpPr>
      <xdr:spPr bwMode="auto">
        <a:xfrm>
          <a:off x="10654553" y="6116358"/>
          <a:ext cx="489137"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800" b="0" i="0" u="none" strike="noStrike" baseline="0">
              <a:solidFill>
                <a:srgbClr val="000000"/>
              </a:solidFill>
              <a:latin typeface="メイリオ" panose="020B0604030504040204" pitchFamily="50" charset="-128"/>
              <a:ea typeface="メイリオ" panose="020B0604030504040204" pitchFamily="50" charset="-128"/>
            </a:rPr>
            <a:t>％</a:t>
          </a:r>
          <a:r>
            <a:rPr lang="en-US" altLang="ja-JP" sz="8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12</xdr:col>
      <xdr:colOff>487642</xdr:colOff>
      <xdr:row>39</xdr:row>
      <xdr:rowOff>158750</xdr:rowOff>
    </xdr:from>
    <xdr:to>
      <xdr:col>14</xdr:col>
      <xdr:colOff>55655</xdr:colOff>
      <xdr:row>40</xdr:row>
      <xdr:rowOff>187325</xdr:rowOff>
    </xdr:to>
    <xdr:sp macro="" textlink="">
      <xdr:nvSpPr>
        <xdr:cNvPr id="86037" name="Text Box 21">
          <a:extLst>
            <a:ext uri="{FF2B5EF4-FFF2-40B4-BE49-F238E27FC236}">
              <a16:creationId xmlns:a16="http://schemas.microsoft.com/office/drawing/2014/main" id="{00000000-0008-0000-1500-000015500100}"/>
            </a:ext>
          </a:extLst>
        </xdr:cNvPr>
        <xdr:cNvSpPr txBox="1">
          <a:spLocks noChangeArrowheads="1"/>
        </xdr:cNvSpPr>
      </xdr:nvSpPr>
      <xdr:spPr bwMode="auto">
        <a:xfrm>
          <a:off x="10472083" y="8081309"/>
          <a:ext cx="755837"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en-US" altLang="ja-JP" sz="7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700" b="0" i="0" u="none" strike="noStrike" baseline="0">
              <a:solidFill>
                <a:srgbClr val="000000"/>
              </a:solidFill>
              <a:latin typeface="メイリオ" panose="020B0604030504040204" pitchFamily="50" charset="-128"/>
              <a:ea typeface="メイリオ" panose="020B0604030504040204" pitchFamily="50" charset="-128"/>
            </a:rPr>
            <a:t>期　</a:t>
          </a:r>
          <a:r>
            <a:rPr lang="en-US" altLang="ja-JP" sz="700" b="0" i="0" u="none" strike="noStrike" baseline="0">
              <a:solidFill>
                <a:srgbClr val="000000"/>
              </a:solidFill>
              <a:latin typeface="+mj-lt"/>
              <a:ea typeface="メイリオ" panose="020B0604030504040204" pitchFamily="50" charset="-128"/>
            </a:rPr>
            <a:t>FY</a:t>
          </a:r>
          <a:r>
            <a:rPr lang="en-US" altLang="ja-JP" sz="7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0</xdr:col>
      <xdr:colOff>582707</xdr:colOff>
      <xdr:row>1</xdr:row>
      <xdr:rowOff>213659</xdr:rowOff>
    </xdr:from>
    <xdr:to>
      <xdr:col>9</xdr:col>
      <xdr:colOff>179482</xdr:colOff>
      <xdr:row>3</xdr:row>
      <xdr:rowOff>180048</xdr:rowOff>
    </xdr:to>
    <xdr:sp macro="" textlink="">
      <xdr:nvSpPr>
        <xdr:cNvPr id="10" name="テキスト ボックス 9">
          <a:extLst>
            <a:ext uri="{FF2B5EF4-FFF2-40B4-BE49-F238E27FC236}">
              <a16:creationId xmlns:a16="http://schemas.microsoft.com/office/drawing/2014/main" id="{00000000-0008-0000-1500-00000A000000}"/>
            </a:ext>
          </a:extLst>
        </xdr:cNvPr>
        <xdr:cNvSpPr txBox="1"/>
      </xdr:nvSpPr>
      <xdr:spPr>
        <a:xfrm>
          <a:off x="582707" y="964453"/>
          <a:ext cx="8102040" cy="369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メイリオ" panose="020B0604030504040204" pitchFamily="50" charset="-128"/>
              <a:ea typeface="メイリオ" panose="020B0604030504040204" pitchFamily="50" charset="-128"/>
            </a:rPr>
            <a:t>（１）連結損益計算書　</a:t>
          </a:r>
          <a:r>
            <a:rPr kumimoji="1" lang="en-US" altLang="ja-JP" sz="1200" b="0">
              <a:latin typeface="+mj-lt"/>
              <a:ea typeface="メイリオ" panose="020B0604030504040204" pitchFamily="50" charset="-128"/>
            </a:rPr>
            <a:t>Consolidated Statements of Income</a:t>
          </a:r>
          <a:endParaRPr kumimoji="1" lang="ja-JP" altLang="en-US" sz="1400" b="0">
            <a:latin typeface="+mj-lt"/>
            <a:ea typeface="メイリオ" panose="020B0604030504040204" pitchFamily="50" charset="-128"/>
          </a:endParaRPr>
        </a:p>
      </xdr:txBody>
    </xdr:sp>
    <xdr:clientData/>
  </xdr:twoCellAnchor>
  <xdr:twoCellAnchor>
    <xdr:from>
      <xdr:col>13</xdr:col>
      <xdr:colOff>530412</xdr:colOff>
      <xdr:row>1</xdr:row>
      <xdr:rowOff>57897</xdr:rowOff>
    </xdr:from>
    <xdr:to>
      <xdr:col>16</xdr:col>
      <xdr:colOff>42822</xdr:colOff>
      <xdr:row>2</xdr:row>
      <xdr:rowOff>130600</xdr:rowOff>
    </xdr:to>
    <xdr:sp macro="" textlink="">
      <xdr:nvSpPr>
        <xdr:cNvPr id="11" name="テキスト ボックス 10">
          <a:extLst>
            <a:ext uri="{FF2B5EF4-FFF2-40B4-BE49-F238E27FC236}">
              <a16:creationId xmlns:a16="http://schemas.microsoft.com/office/drawing/2014/main" id="{00000000-0008-0000-1500-00000B000000}"/>
            </a:ext>
          </a:extLst>
        </xdr:cNvPr>
        <xdr:cNvSpPr txBox="1"/>
      </xdr:nvSpPr>
      <xdr:spPr>
        <a:xfrm>
          <a:off x="11411324" y="808691"/>
          <a:ext cx="1294145" cy="319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b="1">
              <a:solidFill>
                <a:srgbClr val="BDC3C4"/>
              </a:solidFill>
              <a:latin typeface="メイリオ" panose="020B0604030504040204" pitchFamily="50" charset="-128"/>
              <a:ea typeface="メイリオ" panose="020B0604030504040204" pitchFamily="50" charset="-128"/>
            </a:rPr>
            <a:t>Ⅲ-2.</a:t>
          </a:r>
          <a:r>
            <a:rPr kumimoji="1" lang="ja-JP" altLang="en-US" sz="1000" b="1">
              <a:solidFill>
                <a:srgbClr val="BDC3C4"/>
              </a:solidFill>
              <a:latin typeface="メイリオ" panose="020B0604030504040204" pitchFamily="50" charset="-128"/>
              <a:ea typeface="メイリオ" panose="020B0604030504040204" pitchFamily="50" charset="-128"/>
            </a:rPr>
            <a:t>連結</a:t>
          </a:r>
        </a:p>
      </xdr:txBody>
    </xdr:sp>
    <xdr:clientData/>
  </xdr:twoCellAnchor>
  <xdr:twoCellAnchor>
    <xdr:from>
      <xdr:col>1</xdr:col>
      <xdr:colOff>0</xdr:colOff>
      <xdr:row>29</xdr:row>
      <xdr:rowOff>127000</xdr:rowOff>
    </xdr:from>
    <xdr:to>
      <xdr:col>6</xdr:col>
      <xdr:colOff>157389</xdr:colOff>
      <xdr:row>31</xdr:row>
      <xdr:rowOff>56241</xdr:rowOff>
    </xdr:to>
    <xdr:sp macro="" textlink="">
      <xdr:nvSpPr>
        <xdr:cNvPr id="12" name="Text Box 46">
          <a:extLst>
            <a:ext uri="{FF2B5EF4-FFF2-40B4-BE49-F238E27FC236}">
              <a16:creationId xmlns:a16="http://schemas.microsoft.com/office/drawing/2014/main" id="{00000000-0008-0000-1500-00000C000000}"/>
            </a:ext>
          </a:extLst>
        </xdr:cNvPr>
        <xdr:cNvSpPr txBox="1">
          <a:spLocks noChangeArrowheads="1"/>
        </xdr:cNvSpPr>
      </xdr:nvSpPr>
      <xdr:spPr bwMode="auto">
        <a:xfrm>
          <a:off x="777875" y="6175375"/>
          <a:ext cx="5666014" cy="3102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18288" rIns="27432" bIns="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900" b="1" i="0" u="none" strike="noStrike" baseline="0">
              <a:solidFill>
                <a:srgbClr val="000000"/>
              </a:solidFill>
              <a:latin typeface="メイリオ" panose="020B0604030504040204" pitchFamily="50" charset="-128"/>
              <a:ea typeface="メイリオ" panose="020B0604030504040204" pitchFamily="50" charset="-128"/>
            </a:rPr>
            <a:t>連結売上高および営業利益率　</a:t>
          </a:r>
          <a:r>
            <a:rPr lang="en-US" altLang="ja-JP" sz="800" b="0" i="0" u="none" strike="noStrike" baseline="0">
              <a:solidFill>
                <a:srgbClr val="000000"/>
              </a:solidFill>
              <a:latin typeface="+mj-lt"/>
              <a:ea typeface="メイリオ" panose="020B0604030504040204" pitchFamily="50" charset="-128"/>
            </a:rPr>
            <a:t>Net Sales and Operating Margin</a:t>
          </a:r>
        </a:p>
      </xdr:txBody>
    </xdr:sp>
    <xdr:clientData/>
  </xdr:twoCellAnchor>
  <xdr:twoCellAnchor>
    <xdr:from>
      <xdr:col>0</xdr:col>
      <xdr:colOff>381000</xdr:colOff>
      <xdr:row>0</xdr:row>
      <xdr:rowOff>549088</xdr:rowOff>
    </xdr:from>
    <xdr:to>
      <xdr:col>11</xdr:col>
      <xdr:colOff>495264</xdr:colOff>
      <xdr:row>1</xdr:row>
      <xdr:rowOff>200511</xdr:rowOff>
    </xdr:to>
    <xdr:sp macro="" textlink="">
      <xdr:nvSpPr>
        <xdr:cNvPr id="9" name="テキスト ボックス 8">
          <a:extLst>
            <a:ext uri="{FF2B5EF4-FFF2-40B4-BE49-F238E27FC236}">
              <a16:creationId xmlns:a16="http://schemas.microsoft.com/office/drawing/2014/main" id="{00000000-0008-0000-0B00-000005000000}"/>
            </a:ext>
          </a:extLst>
        </xdr:cNvPr>
        <xdr:cNvSpPr txBox="1"/>
      </xdr:nvSpPr>
      <xdr:spPr>
        <a:xfrm>
          <a:off x="381000" y="549088"/>
          <a:ext cx="9807352" cy="402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latin typeface="メイリオ" panose="020B0604030504040204" pitchFamily="50" charset="-128"/>
              <a:ea typeface="メイリオ" panose="020B0604030504040204" pitchFamily="50" charset="-128"/>
            </a:rPr>
            <a:t> 2.</a:t>
          </a:r>
          <a:r>
            <a:rPr kumimoji="1" lang="en-US" altLang="ja-JP" sz="1600" b="1" baseline="0">
              <a:latin typeface="メイリオ" panose="020B0604030504040204" pitchFamily="50" charset="-128"/>
              <a:ea typeface="メイリオ" panose="020B0604030504040204" pitchFamily="50" charset="-128"/>
            </a:rPr>
            <a:t> </a:t>
          </a:r>
          <a:r>
            <a:rPr kumimoji="1" lang="ja-JP" altLang="en-US" sz="1600" b="1" baseline="0">
              <a:latin typeface="メイリオ" panose="020B0604030504040204" pitchFamily="50" charset="-128"/>
              <a:ea typeface="メイリオ" panose="020B0604030504040204" pitchFamily="50" charset="-128"/>
            </a:rPr>
            <a:t>連結</a:t>
          </a:r>
          <a:r>
            <a:rPr kumimoji="1" lang="ja-JP" altLang="en-US" sz="1600" b="1">
              <a:latin typeface="メイリオ" panose="020B0604030504040204" pitchFamily="50" charset="-128"/>
              <a:ea typeface="メイリオ" panose="020B0604030504040204" pitchFamily="50" charset="-128"/>
            </a:rPr>
            <a:t>　</a:t>
          </a:r>
          <a:r>
            <a:rPr kumimoji="1" lang="en-US" altLang="ja-JP" sz="1600" b="0">
              <a:latin typeface="+mj-lt"/>
              <a:ea typeface="メイリオ" panose="020B0604030504040204" pitchFamily="50" charset="-128"/>
            </a:rPr>
            <a:t>Consolidated</a:t>
          </a:r>
          <a:r>
            <a:rPr kumimoji="1" lang="ja-JP" altLang="en-US" sz="1600" b="0" baseline="0">
              <a:latin typeface="+mj-lt"/>
              <a:ea typeface="メイリオ" panose="020B0604030504040204" pitchFamily="50" charset="-128"/>
            </a:rPr>
            <a:t> </a:t>
          </a:r>
          <a:r>
            <a:rPr kumimoji="1" lang="en-US" altLang="ja-JP" sz="1600" b="0" baseline="0">
              <a:latin typeface="+mj-lt"/>
              <a:ea typeface="メイリオ" panose="020B0604030504040204" pitchFamily="50" charset="-128"/>
            </a:rPr>
            <a:t>Basis</a:t>
          </a:r>
          <a:endParaRPr kumimoji="1" lang="ja-JP" altLang="en-US" sz="1600" b="0">
            <a:latin typeface="+mj-lt"/>
            <a:ea typeface="メイリオ" panose="020B0604030504040204" pitchFamily="50" charset="-128"/>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811305</xdr:colOff>
      <xdr:row>2</xdr:row>
      <xdr:rowOff>11485</xdr:rowOff>
    </xdr:from>
    <xdr:to>
      <xdr:col>10</xdr:col>
      <xdr:colOff>374742</xdr:colOff>
      <xdr:row>3</xdr:row>
      <xdr:rowOff>254752</xdr:rowOff>
    </xdr:to>
    <xdr:sp macro="" textlink="">
      <xdr:nvSpPr>
        <xdr:cNvPr id="9" name="テキスト ボックス 8">
          <a:extLst>
            <a:ext uri="{FF2B5EF4-FFF2-40B4-BE49-F238E27FC236}">
              <a16:creationId xmlns:a16="http://schemas.microsoft.com/office/drawing/2014/main" id="{00000000-0008-0000-1600-000009000000}"/>
            </a:ext>
          </a:extLst>
        </xdr:cNvPr>
        <xdr:cNvSpPr txBox="1"/>
      </xdr:nvSpPr>
      <xdr:spPr>
        <a:xfrm>
          <a:off x="811305" y="1221720"/>
          <a:ext cx="8584172" cy="4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メイリオ" panose="020B0604030504040204" pitchFamily="50" charset="-128"/>
              <a:ea typeface="メイリオ" panose="020B0604030504040204" pitchFamily="50" charset="-128"/>
            </a:rPr>
            <a:t>（２）連結貸借対照表　</a:t>
          </a:r>
          <a:r>
            <a:rPr kumimoji="1" lang="en-US" altLang="ja-JP" sz="1600" b="0">
              <a:latin typeface="+mj-lt"/>
              <a:ea typeface="メイリオ" panose="020B0604030504040204" pitchFamily="50" charset="-128"/>
            </a:rPr>
            <a:t>Consolidated Balance Sheet</a:t>
          </a:r>
          <a:endParaRPr kumimoji="1" lang="ja-JP" altLang="en-US" sz="1800" b="0">
            <a:latin typeface="+mj-lt"/>
            <a:ea typeface="メイリオ" panose="020B0604030504040204" pitchFamily="50" charset="-128"/>
          </a:endParaRPr>
        </a:p>
      </xdr:txBody>
    </xdr:sp>
    <xdr:clientData/>
  </xdr:twoCellAnchor>
  <xdr:twoCellAnchor>
    <xdr:from>
      <xdr:col>19</xdr:col>
      <xdr:colOff>252416</xdr:colOff>
      <xdr:row>2</xdr:row>
      <xdr:rowOff>33338</xdr:rowOff>
    </xdr:from>
    <xdr:to>
      <xdr:col>21</xdr:col>
      <xdr:colOff>88676</xdr:colOff>
      <xdr:row>3</xdr:row>
      <xdr:rowOff>375117</xdr:rowOff>
    </xdr:to>
    <xdr:sp macro="" textlink="">
      <xdr:nvSpPr>
        <xdr:cNvPr id="10" name="テキスト ボックス 9">
          <a:extLst>
            <a:ext uri="{FF2B5EF4-FFF2-40B4-BE49-F238E27FC236}">
              <a16:creationId xmlns:a16="http://schemas.microsoft.com/office/drawing/2014/main" id="{00000000-0008-0000-1600-00000A000000}"/>
            </a:ext>
          </a:extLst>
        </xdr:cNvPr>
        <xdr:cNvSpPr txBox="1"/>
      </xdr:nvSpPr>
      <xdr:spPr>
        <a:xfrm>
          <a:off x="16332857" y="1243573"/>
          <a:ext cx="1405084" cy="498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400" b="1">
              <a:solidFill>
                <a:srgbClr val="BDC3C4"/>
              </a:solidFill>
              <a:latin typeface="メイリオ" panose="020B0604030504040204" pitchFamily="50" charset="-128"/>
              <a:ea typeface="メイリオ" panose="020B0604030504040204" pitchFamily="50" charset="-128"/>
            </a:rPr>
            <a:t>Ⅲ-2.</a:t>
          </a:r>
          <a:r>
            <a:rPr kumimoji="1" lang="ja-JP" altLang="en-US" sz="1400" b="1">
              <a:solidFill>
                <a:srgbClr val="BDC3C4"/>
              </a:solidFill>
              <a:latin typeface="メイリオ" panose="020B0604030504040204" pitchFamily="50" charset="-128"/>
              <a:ea typeface="メイリオ" panose="020B0604030504040204" pitchFamily="50" charset="-128"/>
            </a:rPr>
            <a:t>連結</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748393</xdr:colOff>
      <xdr:row>0</xdr:row>
      <xdr:rowOff>739321</xdr:rowOff>
    </xdr:from>
    <xdr:to>
      <xdr:col>9</xdr:col>
      <xdr:colOff>324455</xdr:colOff>
      <xdr:row>2</xdr:row>
      <xdr:rowOff>140607</xdr:rowOff>
    </xdr:to>
    <xdr:sp macro="" textlink="">
      <xdr:nvSpPr>
        <xdr:cNvPr id="2" name="テキスト ボックス 1">
          <a:extLst>
            <a:ext uri="{FF2B5EF4-FFF2-40B4-BE49-F238E27FC236}">
              <a16:creationId xmlns:a16="http://schemas.microsoft.com/office/drawing/2014/main" id="{00000000-0008-0000-0300-000009000000}"/>
            </a:ext>
          </a:extLst>
        </xdr:cNvPr>
        <xdr:cNvSpPr txBox="1"/>
      </xdr:nvSpPr>
      <xdr:spPr>
        <a:xfrm>
          <a:off x="748393" y="739321"/>
          <a:ext cx="7072237" cy="449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メイリオ" panose="020B0604030504040204" pitchFamily="50" charset="-128"/>
              <a:ea typeface="メイリオ" panose="020B0604030504040204" pitchFamily="50" charset="-128"/>
            </a:rPr>
            <a:t>Ⅰ.</a:t>
          </a:r>
          <a:r>
            <a:rPr kumimoji="1" lang="ja-JP" altLang="en-US" sz="1400" b="1">
              <a:latin typeface="メイリオ" panose="020B0604030504040204" pitchFamily="50" charset="-128"/>
              <a:ea typeface="メイリオ" panose="020B0604030504040204" pitchFamily="50" charset="-128"/>
            </a:rPr>
            <a:t> 主要データ（年度） 　</a:t>
          </a:r>
          <a:r>
            <a:rPr kumimoji="1" lang="en-US" altLang="ja-JP" sz="1200" b="0">
              <a:latin typeface="+mj-lt"/>
              <a:ea typeface="メイリオ" panose="020B0604030504040204" pitchFamily="50" charset="-128"/>
              <a:cs typeface="Arial" panose="020B0604020202020204" pitchFamily="34" charset="0"/>
            </a:rPr>
            <a:t>Main Financial Indicators (Fiscal Year)</a:t>
          </a:r>
          <a:endParaRPr kumimoji="1" lang="ja-JP" altLang="en-US" sz="1400" b="0">
            <a:latin typeface="+mj-lt"/>
            <a:ea typeface="メイリオ" panose="020B0604030504040204" pitchFamily="50" charset="-128"/>
            <a:cs typeface="Arial" panose="020B0604020202020204" pitchFamily="34"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676275</xdr:colOff>
      <xdr:row>0</xdr:row>
      <xdr:rowOff>800100</xdr:rowOff>
    </xdr:from>
    <xdr:to>
      <xdr:col>11</xdr:col>
      <xdr:colOff>533400</xdr:colOff>
      <xdr:row>2</xdr:row>
      <xdr:rowOff>107490</xdr:rowOff>
    </xdr:to>
    <xdr:sp macro="" textlink="">
      <xdr:nvSpPr>
        <xdr:cNvPr id="9" name="テキスト ボックス 8">
          <a:extLst>
            <a:ext uri="{FF2B5EF4-FFF2-40B4-BE49-F238E27FC236}">
              <a16:creationId xmlns:a16="http://schemas.microsoft.com/office/drawing/2014/main" id="{00000000-0008-0000-1700-000009000000}"/>
            </a:ext>
          </a:extLst>
        </xdr:cNvPr>
        <xdr:cNvSpPr txBox="1"/>
      </xdr:nvSpPr>
      <xdr:spPr>
        <a:xfrm>
          <a:off x="676275" y="800100"/>
          <a:ext cx="10410825" cy="431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メイリオ" panose="020B0604030504040204" pitchFamily="50" charset="-128"/>
              <a:ea typeface="メイリオ" panose="020B0604030504040204" pitchFamily="50" charset="-128"/>
            </a:rPr>
            <a:t>（３）連結キャッシュ・フロー計算書　</a:t>
          </a:r>
          <a:r>
            <a:rPr kumimoji="1" lang="en-US" altLang="ja-JP" sz="1400" b="0">
              <a:latin typeface="+mj-lt"/>
              <a:ea typeface="メイリオ" panose="020B0604030504040204" pitchFamily="50" charset="-128"/>
            </a:rPr>
            <a:t>Consolidated Statements of Cash Flows</a:t>
          </a:r>
          <a:endParaRPr kumimoji="1" lang="ja-JP" altLang="en-US" sz="1600" b="0">
            <a:latin typeface="+mj-lt"/>
            <a:ea typeface="メイリオ" panose="020B0604030504040204" pitchFamily="50" charset="-128"/>
          </a:endParaRPr>
        </a:p>
      </xdr:txBody>
    </xdr:sp>
    <xdr:clientData/>
  </xdr:twoCellAnchor>
  <xdr:twoCellAnchor>
    <xdr:from>
      <xdr:col>14</xdr:col>
      <xdr:colOff>333375</xdr:colOff>
      <xdr:row>1</xdr:row>
      <xdr:rowOff>88900</xdr:rowOff>
    </xdr:from>
    <xdr:to>
      <xdr:col>16</xdr:col>
      <xdr:colOff>58510</xdr:colOff>
      <xdr:row>3</xdr:row>
      <xdr:rowOff>73025</xdr:rowOff>
    </xdr:to>
    <xdr:sp macro="" textlink="">
      <xdr:nvSpPr>
        <xdr:cNvPr id="10" name="テキスト ボックス 9">
          <a:extLst>
            <a:ext uri="{FF2B5EF4-FFF2-40B4-BE49-F238E27FC236}">
              <a16:creationId xmlns:a16="http://schemas.microsoft.com/office/drawing/2014/main" id="{00000000-0008-0000-1700-00000A000000}"/>
            </a:ext>
          </a:extLst>
        </xdr:cNvPr>
        <xdr:cNvSpPr txBox="1"/>
      </xdr:nvSpPr>
      <xdr:spPr>
        <a:xfrm>
          <a:off x="13287375" y="955675"/>
          <a:ext cx="1172935" cy="469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200" b="1">
              <a:solidFill>
                <a:srgbClr val="BDC3C4"/>
              </a:solidFill>
              <a:latin typeface="メイリオ" panose="020B0604030504040204" pitchFamily="50" charset="-128"/>
              <a:ea typeface="メイリオ" panose="020B0604030504040204" pitchFamily="50" charset="-128"/>
            </a:rPr>
            <a:t>Ⅲ-2.</a:t>
          </a:r>
          <a:r>
            <a:rPr kumimoji="1" lang="ja-JP" altLang="en-US" sz="1200" b="1">
              <a:solidFill>
                <a:srgbClr val="BDC3C4"/>
              </a:solidFill>
              <a:latin typeface="メイリオ" panose="020B0604030504040204" pitchFamily="50" charset="-128"/>
              <a:ea typeface="メイリオ" panose="020B0604030504040204" pitchFamily="50" charset="-128"/>
            </a:rPr>
            <a:t>連結</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23</xdr:col>
      <xdr:colOff>47625</xdr:colOff>
      <xdr:row>7</xdr:row>
      <xdr:rowOff>142875</xdr:rowOff>
    </xdr:from>
    <xdr:to>
      <xdr:col>23</xdr:col>
      <xdr:colOff>257175</xdr:colOff>
      <xdr:row>34</xdr:row>
      <xdr:rowOff>123825</xdr:rowOff>
    </xdr:to>
    <xdr:sp macro="" textlink="">
      <xdr:nvSpPr>
        <xdr:cNvPr id="2" name="AutoShape 7">
          <a:extLst>
            <a:ext uri="{FF2B5EF4-FFF2-40B4-BE49-F238E27FC236}">
              <a16:creationId xmlns:a16="http://schemas.microsoft.com/office/drawing/2014/main" id="{00000000-0008-0000-1800-0000A4400D00}"/>
            </a:ext>
          </a:extLst>
        </xdr:cNvPr>
        <xdr:cNvSpPr>
          <a:spLocks/>
        </xdr:cNvSpPr>
      </xdr:nvSpPr>
      <xdr:spPr bwMode="auto">
        <a:xfrm>
          <a:off x="21564600" y="2200275"/>
          <a:ext cx="209550" cy="2924175"/>
        </a:xfrm>
        <a:prstGeom prst="rightBrace">
          <a:avLst>
            <a:gd name="adj1" fmla="val 15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60512</xdr:colOff>
      <xdr:row>43</xdr:row>
      <xdr:rowOff>9525</xdr:rowOff>
    </xdr:from>
    <xdr:to>
      <xdr:col>23</xdr:col>
      <xdr:colOff>270062</xdr:colOff>
      <xdr:row>45</xdr:row>
      <xdr:rowOff>180975</xdr:rowOff>
    </xdr:to>
    <xdr:sp macro="" textlink="">
      <xdr:nvSpPr>
        <xdr:cNvPr id="3" name="AutoShape 7">
          <a:extLst>
            <a:ext uri="{FF2B5EF4-FFF2-40B4-BE49-F238E27FC236}">
              <a16:creationId xmlns:a16="http://schemas.microsoft.com/office/drawing/2014/main" id="{00000000-0008-0000-1800-0000A9400D00}"/>
            </a:ext>
          </a:extLst>
        </xdr:cNvPr>
        <xdr:cNvSpPr>
          <a:spLocks/>
        </xdr:cNvSpPr>
      </xdr:nvSpPr>
      <xdr:spPr bwMode="auto">
        <a:xfrm>
          <a:off x="21577487" y="5905500"/>
          <a:ext cx="209550" cy="390525"/>
        </a:xfrm>
        <a:prstGeom prst="rightBrace">
          <a:avLst>
            <a:gd name="adj1" fmla="val 2197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1476375</xdr:colOff>
      <xdr:row>38</xdr:row>
      <xdr:rowOff>38100</xdr:rowOff>
    </xdr:from>
    <xdr:to>
      <xdr:col>20</xdr:col>
      <xdr:colOff>1000125</xdr:colOff>
      <xdr:row>39</xdr:row>
      <xdr:rowOff>0</xdr:rowOff>
    </xdr:to>
    <xdr:sp macro="" textlink="">
      <xdr:nvSpPr>
        <xdr:cNvPr id="4" name="AutoShape 7">
          <a:extLst>
            <a:ext uri="{FF2B5EF4-FFF2-40B4-BE49-F238E27FC236}">
              <a16:creationId xmlns:a16="http://schemas.microsoft.com/office/drawing/2014/main" id="{00000000-0008-0000-1800-0000AA400D00}"/>
            </a:ext>
          </a:extLst>
        </xdr:cNvPr>
        <xdr:cNvSpPr>
          <a:spLocks/>
        </xdr:cNvSpPr>
      </xdr:nvSpPr>
      <xdr:spPr bwMode="auto">
        <a:xfrm rot="5400000">
          <a:off x="17206913" y="2786062"/>
          <a:ext cx="57150" cy="5133975"/>
        </a:xfrm>
        <a:prstGeom prst="rightBrace">
          <a:avLst>
            <a:gd name="adj1" fmla="val 280208"/>
            <a:gd name="adj2" fmla="val 5021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1466850</xdr:colOff>
      <xdr:row>56</xdr:row>
      <xdr:rowOff>57150</xdr:rowOff>
    </xdr:from>
    <xdr:to>
      <xdr:col>20</xdr:col>
      <xdr:colOff>990600</xdr:colOff>
      <xdr:row>57</xdr:row>
      <xdr:rowOff>28577</xdr:rowOff>
    </xdr:to>
    <xdr:sp macro="" textlink="">
      <xdr:nvSpPr>
        <xdr:cNvPr id="5" name="AutoShape 7">
          <a:extLst>
            <a:ext uri="{FF2B5EF4-FFF2-40B4-BE49-F238E27FC236}">
              <a16:creationId xmlns:a16="http://schemas.microsoft.com/office/drawing/2014/main" id="{00000000-0008-0000-1800-0000AB400D00}"/>
            </a:ext>
          </a:extLst>
        </xdr:cNvPr>
        <xdr:cNvSpPr>
          <a:spLocks/>
        </xdr:cNvSpPr>
      </xdr:nvSpPr>
      <xdr:spPr bwMode="auto">
        <a:xfrm rot="5400000">
          <a:off x="17078324" y="7172326"/>
          <a:ext cx="161927" cy="5133975"/>
        </a:xfrm>
        <a:prstGeom prst="rightBrace">
          <a:avLst>
            <a:gd name="adj1" fmla="val 280208"/>
            <a:gd name="adj2" fmla="val 5021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89647</xdr:colOff>
      <xdr:row>47</xdr:row>
      <xdr:rowOff>0</xdr:rowOff>
    </xdr:from>
    <xdr:to>
      <xdr:col>23</xdr:col>
      <xdr:colOff>299197</xdr:colOff>
      <xdr:row>49</xdr:row>
      <xdr:rowOff>171450</xdr:rowOff>
    </xdr:to>
    <xdr:sp macro="" textlink="">
      <xdr:nvSpPr>
        <xdr:cNvPr id="6" name="AutoShape 7">
          <a:extLst>
            <a:ext uri="{FF2B5EF4-FFF2-40B4-BE49-F238E27FC236}">
              <a16:creationId xmlns:a16="http://schemas.microsoft.com/office/drawing/2014/main" id="{00000000-0008-0000-1800-00000C000000}"/>
            </a:ext>
          </a:extLst>
        </xdr:cNvPr>
        <xdr:cNvSpPr>
          <a:spLocks/>
        </xdr:cNvSpPr>
      </xdr:nvSpPr>
      <xdr:spPr bwMode="auto">
        <a:xfrm>
          <a:off x="21606622" y="6429375"/>
          <a:ext cx="209550" cy="400050"/>
        </a:xfrm>
        <a:prstGeom prst="rightBrace">
          <a:avLst>
            <a:gd name="adj1" fmla="val 2197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587827</xdr:colOff>
      <xdr:row>0</xdr:row>
      <xdr:rowOff>661307</xdr:rowOff>
    </xdr:from>
    <xdr:to>
      <xdr:col>10</xdr:col>
      <xdr:colOff>812345</xdr:colOff>
      <xdr:row>2</xdr:row>
      <xdr:rowOff>153754</xdr:rowOff>
    </xdr:to>
    <xdr:sp macro="" textlink="">
      <xdr:nvSpPr>
        <xdr:cNvPr id="7" name="テキスト ボックス 6">
          <a:extLst>
            <a:ext uri="{FF2B5EF4-FFF2-40B4-BE49-F238E27FC236}">
              <a16:creationId xmlns:a16="http://schemas.microsoft.com/office/drawing/2014/main" id="{00000000-0008-0000-1800-00000E000000}"/>
            </a:ext>
          </a:extLst>
        </xdr:cNvPr>
        <xdr:cNvSpPr txBox="1"/>
      </xdr:nvSpPr>
      <xdr:spPr>
        <a:xfrm>
          <a:off x="587827" y="661307"/>
          <a:ext cx="10187668" cy="435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メイリオ" panose="020B0604030504040204" pitchFamily="50" charset="-128"/>
              <a:ea typeface="メイリオ" panose="020B0604030504040204" pitchFamily="50" charset="-128"/>
            </a:rPr>
            <a:t>（４）</a:t>
          </a:r>
          <a:r>
            <a:rPr kumimoji="1" lang="en-US" altLang="ja-JP" sz="1400" b="1">
              <a:latin typeface="メイリオ" panose="020B0604030504040204" pitchFamily="50" charset="-128"/>
              <a:ea typeface="メイリオ" panose="020B0604030504040204" pitchFamily="50" charset="-128"/>
            </a:rPr>
            <a:t>2027</a:t>
          </a:r>
          <a:r>
            <a:rPr kumimoji="1" lang="ja-JP" altLang="en-US" sz="1400" b="1">
              <a:latin typeface="メイリオ" panose="020B0604030504040204" pitchFamily="50" charset="-128"/>
              <a:ea typeface="メイリオ" panose="020B0604030504040204" pitchFamily="50" charset="-128"/>
            </a:rPr>
            <a:t>年</a:t>
          </a:r>
          <a:r>
            <a:rPr kumimoji="1" lang="en-US" altLang="ja-JP" sz="1400" b="1">
              <a:latin typeface="メイリオ" panose="020B0604030504040204" pitchFamily="50" charset="-128"/>
              <a:ea typeface="メイリオ" panose="020B0604030504040204" pitchFamily="50" charset="-128"/>
            </a:rPr>
            <a:t>3</a:t>
          </a:r>
          <a:r>
            <a:rPr kumimoji="1" lang="ja-JP" altLang="en-US" sz="1400" b="1">
              <a:latin typeface="メイリオ" panose="020B0604030504040204" pitchFamily="50" charset="-128"/>
              <a:ea typeface="メイリオ" panose="020B0604030504040204" pitchFamily="50" charset="-128"/>
            </a:rPr>
            <a:t>月期の計画（連結）　</a:t>
          </a:r>
          <a:r>
            <a:rPr kumimoji="1" lang="en-US" altLang="ja-JP" sz="1200" b="0">
              <a:latin typeface="+mj-lt"/>
              <a:ea typeface="メイリオ" panose="020B0604030504040204" pitchFamily="50" charset="-128"/>
            </a:rPr>
            <a:t>Forecast for the Fiscal Year Ending March 31, 2027 (Consolidated)</a:t>
          </a:r>
          <a:endParaRPr kumimoji="1" lang="ja-JP" altLang="en-US" sz="1400" b="0">
            <a:latin typeface="+mj-lt"/>
            <a:ea typeface="メイリオ" panose="020B0604030504040204" pitchFamily="50" charset="-128"/>
          </a:endParaRPr>
        </a:p>
      </xdr:txBody>
    </xdr:sp>
    <xdr:clientData/>
  </xdr:twoCellAnchor>
  <xdr:twoCellAnchor>
    <xdr:from>
      <xdr:col>10</xdr:col>
      <xdr:colOff>850446</xdr:colOff>
      <xdr:row>1</xdr:row>
      <xdr:rowOff>93210</xdr:rowOff>
    </xdr:from>
    <xdr:to>
      <xdr:col>12</xdr:col>
      <xdr:colOff>58510</xdr:colOff>
      <xdr:row>3</xdr:row>
      <xdr:rowOff>32431</xdr:rowOff>
    </xdr:to>
    <xdr:sp macro="" textlink="">
      <xdr:nvSpPr>
        <xdr:cNvPr id="8" name="テキスト ボックス 7">
          <a:extLst>
            <a:ext uri="{FF2B5EF4-FFF2-40B4-BE49-F238E27FC236}">
              <a16:creationId xmlns:a16="http://schemas.microsoft.com/office/drawing/2014/main" id="{00000000-0008-0000-1800-00000F000000}"/>
            </a:ext>
          </a:extLst>
        </xdr:cNvPr>
        <xdr:cNvSpPr txBox="1"/>
      </xdr:nvSpPr>
      <xdr:spPr>
        <a:xfrm>
          <a:off x="10746921" y="788535"/>
          <a:ext cx="1227364" cy="482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b="1">
              <a:solidFill>
                <a:srgbClr val="BDC3C4"/>
              </a:solidFill>
              <a:latin typeface="メイリオ" panose="020B0604030504040204" pitchFamily="50" charset="-128"/>
              <a:ea typeface="メイリオ" panose="020B0604030504040204" pitchFamily="50" charset="-128"/>
            </a:rPr>
            <a:t>Ⅲ-2.</a:t>
          </a:r>
          <a:r>
            <a:rPr kumimoji="1" lang="ja-JP" altLang="en-US" sz="1100" b="1">
              <a:solidFill>
                <a:srgbClr val="BDC3C4"/>
              </a:solidFill>
              <a:latin typeface="メイリオ" panose="020B0604030504040204" pitchFamily="50" charset="-128"/>
              <a:ea typeface="メイリオ" panose="020B0604030504040204" pitchFamily="50" charset="-128"/>
            </a:rPr>
            <a:t>連結</a:t>
          </a:r>
        </a:p>
      </xdr:txBody>
    </xdr:sp>
    <xdr:clientData/>
  </xdr:twoCellAnchor>
  <xdr:twoCellAnchor>
    <xdr:from>
      <xdr:col>1</xdr:col>
      <xdr:colOff>13607</xdr:colOff>
      <xdr:row>2</xdr:row>
      <xdr:rowOff>639535</xdr:rowOff>
    </xdr:from>
    <xdr:to>
      <xdr:col>6</xdr:col>
      <xdr:colOff>149678</xdr:colOff>
      <xdr:row>3</xdr:row>
      <xdr:rowOff>328642</xdr:rowOff>
    </xdr:to>
    <xdr:sp macro="" textlink="">
      <xdr:nvSpPr>
        <xdr:cNvPr id="9" name="Text Box 46">
          <a:extLst>
            <a:ext uri="{FF2B5EF4-FFF2-40B4-BE49-F238E27FC236}">
              <a16:creationId xmlns:a16="http://schemas.microsoft.com/office/drawing/2014/main" id="{00000000-0008-0000-1800-000010000000}"/>
            </a:ext>
          </a:extLst>
        </xdr:cNvPr>
        <xdr:cNvSpPr txBox="1">
          <a:spLocks noChangeArrowheads="1"/>
        </xdr:cNvSpPr>
      </xdr:nvSpPr>
      <xdr:spPr bwMode="auto">
        <a:xfrm>
          <a:off x="756557" y="1239610"/>
          <a:ext cx="5317671" cy="3272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1200" b="1" i="0" u="none" strike="noStrike" baseline="0">
              <a:solidFill>
                <a:srgbClr val="004098"/>
              </a:solidFill>
              <a:latin typeface="メイリオ" panose="020B0604030504040204" pitchFamily="50" charset="-128"/>
              <a:ea typeface="メイリオ" panose="020B0604030504040204" pitchFamily="50" charset="-128"/>
            </a:rPr>
            <a:t>連結決算　</a:t>
          </a:r>
          <a:r>
            <a:rPr lang="en-US" altLang="ja-JP" sz="1100" b="0" i="0" u="none" strike="noStrike" baseline="0">
              <a:solidFill>
                <a:srgbClr val="004098"/>
              </a:solidFill>
              <a:latin typeface="+mj-lt"/>
              <a:ea typeface="メイリオ" panose="020B0604030504040204" pitchFamily="50" charset="-128"/>
            </a:rPr>
            <a:t>Consolidated Statement</a:t>
          </a:r>
        </a:p>
      </xdr:txBody>
    </xdr:sp>
    <xdr:clientData/>
  </xdr:twoCellAnchor>
  <xdr:twoCellAnchor>
    <xdr:from>
      <xdr:col>1</xdr:col>
      <xdr:colOff>13606</xdr:colOff>
      <xdr:row>38</xdr:row>
      <xdr:rowOff>54430</xdr:rowOff>
    </xdr:from>
    <xdr:to>
      <xdr:col>7</xdr:col>
      <xdr:colOff>136070</xdr:colOff>
      <xdr:row>40</xdr:row>
      <xdr:rowOff>70108</xdr:rowOff>
    </xdr:to>
    <xdr:sp macro="" textlink="">
      <xdr:nvSpPr>
        <xdr:cNvPr id="10" name="Text Box 46">
          <a:extLst>
            <a:ext uri="{FF2B5EF4-FFF2-40B4-BE49-F238E27FC236}">
              <a16:creationId xmlns:a16="http://schemas.microsoft.com/office/drawing/2014/main" id="{00000000-0008-0000-1800-000011000000}"/>
            </a:ext>
          </a:extLst>
        </xdr:cNvPr>
        <xdr:cNvSpPr txBox="1">
          <a:spLocks noChangeArrowheads="1"/>
        </xdr:cNvSpPr>
      </xdr:nvSpPr>
      <xdr:spPr bwMode="auto">
        <a:xfrm>
          <a:off x="756556" y="5340805"/>
          <a:ext cx="6313714" cy="2347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1200" b="1" i="0" u="none" strike="noStrike" baseline="0">
              <a:solidFill>
                <a:srgbClr val="004098"/>
              </a:solidFill>
              <a:latin typeface="メイリオ" panose="020B0604030504040204" pitchFamily="50" charset="-128"/>
              <a:ea typeface="メイリオ" panose="020B0604030504040204" pitchFamily="50" charset="-128"/>
            </a:rPr>
            <a:t>オートオークション関連（</a:t>
          </a:r>
          <a:r>
            <a:rPr lang="en-US" altLang="ja-JP" sz="1200" b="1" i="0" u="none" strike="noStrike" baseline="0">
              <a:solidFill>
                <a:srgbClr val="004098"/>
              </a:solidFill>
              <a:latin typeface="メイリオ" panose="020B0604030504040204" pitchFamily="50" charset="-128"/>
              <a:ea typeface="メイリオ" panose="020B0604030504040204" pitchFamily="50" charset="-128"/>
            </a:rPr>
            <a:t>JBA</a:t>
          </a:r>
          <a:r>
            <a:rPr lang="ja-JP" altLang="en-US" sz="1200" b="1" i="0" u="none" strike="noStrike" baseline="0">
              <a:solidFill>
                <a:srgbClr val="004098"/>
              </a:solidFill>
              <a:latin typeface="メイリオ" panose="020B0604030504040204" pitchFamily="50" charset="-128"/>
              <a:ea typeface="メイリオ" panose="020B0604030504040204" pitchFamily="50" charset="-128"/>
            </a:rPr>
            <a:t>除く）　</a:t>
          </a:r>
          <a:r>
            <a:rPr lang="en-US" altLang="ja-JP" sz="1100" b="0" i="0" u="none" strike="noStrike" baseline="0">
              <a:solidFill>
                <a:srgbClr val="004098"/>
              </a:solidFill>
              <a:latin typeface="+mj-lt"/>
              <a:ea typeface="メイリオ" panose="020B0604030504040204" pitchFamily="50" charset="-128"/>
            </a:rPr>
            <a:t>Auto Auction Business (excl. JBA)</a:t>
          </a:r>
        </a:p>
      </xdr:txBody>
    </xdr:sp>
    <xdr:clientData/>
  </xdr:twoCellAnchor>
  <xdr:twoCellAnchor>
    <xdr:from>
      <xdr:col>1</xdr:col>
      <xdr:colOff>13606</xdr:colOff>
      <xdr:row>52</xdr:row>
      <xdr:rowOff>0</xdr:rowOff>
    </xdr:from>
    <xdr:to>
      <xdr:col>7</xdr:col>
      <xdr:colOff>136070</xdr:colOff>
      <xdr:row>53</xdr:row>
      <xdr:rowOff>88818</xdr:rowOff>
    </xdr:to>
    <xdr:sp macro="" textlink="">
      <xdr:nvSpPr>
        <xdr:cNvPr id="11" name="Text Box 46">
          <a:extLst>
            <a:ext uri="{FF2B5EF4-FFF2-40B4-BE49-F238E27FC236}">
              <a16:creationId xmlns:a16="http://schemas.microsoft.com/office/drawing/2014/main" id="{00000000-0008-0000-1800-000012000000}"/>
            </a:ext>
          </a:extLst>
        </xdr:cNvPr>
        <xdr:cNvSpPr txBox="1">
          <a:spLocks noChangeArrowheads="1"/>
        </xdr:cNvSpPr>
      </xdr:nvSpPr>
      <xdr:spPr bwMode="auto">
        <a:xfrm>
          <a:off x="756556" y="7283565"/>
          <a:ext cx="6313714" cy="3204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1200" b="1" i="0" u="none" strike="noStrike" baseline="0">
              <a:solidFill>
                <a:srgbClr val="004098"/>
              </a:solidFill>
              <a:latin typeface="メイリオ" panose="020B0604030504040204" pitchFamily="50" charset="-128"/>
              <a:ea typeface="メイリオ" panose="020B0604030504040204" pitchFamily="50" charset="-128"/>
            </a:rPr>
            <a:t>設備投資・減価償却費　</a:t>
          </a:r>
          <a:r>
            <a:rPr lang="en-US" altLang="ja-JP" sz="1100" b="0" i="0" u="none" strike="noStrike" baseline="0">
              <a:solidFill>
                <a:srgbClr val="004098"/>
              </a:solidFill>
              <a:latin typeface="+mj-lt"/>
              <a:ea typeface="メイリオ" panose="020B0604030504040204" pitchFamily="50" charset="-128"/>
            </a:rPr>
            <a:t>Capital Expenditures and Depreciation</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625930</xdr:colOff>
      <xdr:row>0</xdr:row>
      <xdr:rowOff>585106</xdr:rowOff>
    </xdr:from>
    <xdr:to>
      <xdr:col>10</xdr:col>
      <xdr:colOff>244929</xdr:colOff>
      <xdr:row>2</xdr:row>
      <xdr:rowOff>159196</xdr:rowOff>
    </xdr:to>
    <xdr:sp macro="" textlink="">
      <xdr:nvSpPr>
        <xdr:cNvPr id="15" name="テキスト ボックス 14">
          <a:extLst>
            <a:ext uri="{FF2B5EF4-FFF2-40B4-BE49-F238E27FC236}">
              <a16:creationId xmlns:a16="http://schemas.microsoft.com/office/drawing/2014/main" id="{00000000-0008-0000-1900-00000F000000}"/>
            </a:ext>
          </a:extLst>
        </xdr:cNvPr>
        <xdr:cNvSpPr txBox="1"/>
      </xdr:nvSpPr>
      <xdr:spPr>
        <a:xfrm>
          <a:off x="625930" y="585106"/>
          <a:ext cx="4952999" cy="444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メイリオ" panose="020B0604030504040204" pitchFamily="50" charset="-128"/>
              <a:ea typeface="メイリオ" panose="020B0604030504040204" pitchFamily="50" charset="-128"/>
            </a:rPr>
            <a:t>Ⅳ</a:t>
          </a:r>
          <a:r>
            <a:rPr kumimoji="1" lang="ja-JP" altLang="en-US" sz="1400" b="1">
              <a:latin typeface="メイリオ" panose="020B0604030504040204" pitchFamily="50" charset="-128"/>
              <a:ea typeface="メイリオ" panose="020B0604030504040204" pitchFamily="50" charset="-128"/>
            </a:rPr>
            <a:t> 計算式　</a:t>
          </a:r>
          <a:r>
            <a:rPr kumimoji="1" lang="en-US" altLang="ja-JP" sz="1200" b="0">
              <a:latin typeface="+mj-lt"/>
              <a:ea typeface="メイリオ" panose="020B0604030504040204" pitchFamily="50" charset="-128"/>
            </a:rPr>
            <a:t>Calculating Formulas</a:t>
          </a:r>
          <a:endParaRPr kumimoji="1" lang="ja-JP" altLang="en-US" sz="1400" b="0">
            <a:latin typeface="+mj-lt"/>
            <a:ea typeface="メイリオ" panose="020B0604030504040204" pitchFamily="50" charset="-128"/>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625930</xdr:colOff>
      <xdr:row>0</xdr:row>
      <xdr:rowOff>585106</xdr:rowOff>
    </xdr:from>
    <xdr:to>
      <xdr:col>10</xdr:col>
      <xdr:colOff>244929</xdr:colOff>
      <xdr:row>2</xdr:row>
      <xdr:rowOff>159196</xdr:rowOff>
    </xdr:to>
    <xdr:sp macro="" textlink="">
      <xdr:nvSpPr>
        <xdr:cNvPr id="2" name="テキスト ボックス 1">
          <a:extLst>
            <a:ext uri="{FF2B5EF4-FFF2-40B4-BE49-F238E27FC236}">
              <a16:creationId xmlns:a16="http://schemas.microsoft.com/office/drawing/2014/main" id="{00000000-0008-0000-1900-00000F000000}"/>
            </a:ext>
          </a:extLst>
        </xdr:cNvPr>
        <xdr:cNvSpPr txBox="1"/>
      </xdr:nvSpPr>
      <xdr:spPr>
        <a:xfrm>
          <a:off x="625930" y="585106"/>
          <a:ext cx="4219574" cy="450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latin typeface="メイリオ" panose="020B0604030504040204" pitchFamily="50" charset="-128"/>
              <a:ea typeface="メイリオ" panose="020B0604030504040204" pitchFamily="50" charset="-128"/>
            </a:rPr>
            <a:t>Ⅴ</a:t>
          </a:r>
          <a:r>
            <a:rPr kumimoji="1" lang="ja-JP" altLang="en-US" sz="2000" b="1" baseline="0">
              <a:latin typeface="メイリオ" panose="020B0604030504040204" pitchFamily="50" charset="-128"/>
              <a:ea typeface="メイリオ" panose="020B0604030504040204" pitchFamily="50" charset="-128"/>
            </a:rPr>
            <a:t> </a:t>
          </a:r>
          <a:r>
            <a:rPr kumimoji="1" lang="ja-JP" altLang="en-US" sz="2000" b="1">
              <a:latin typeface="メイリオ" panose="020B0604030504040204" pitchFamily="50" charset="-128"/>
              <a:ea typeface="メイリオ" panose="020B0604030504040204" pitchFamily="50" charset="-128"/>
            </a:rPr>
            <a:t>注記事項</a:t>
          </a:r>
          <a:r>
            <a:rPr kumimoji="1" lang="ja-JP" altLang="en-US" sz="1400" b="1">
              <a:latin typeface="メイリオ" panose="020B0604030504040204" pitchFamily="50" charset="-128"/>
              <a:ea typeface="メイリオ" panose="020B0604030504040204" pitchFamily="50" charset="-128"/>
            </a:rPr>
            <a:t>　</a:t>
          </a:r>
          <a:r>
            <a:rPr kumimoji="1" lang="en-US" altLang="ja-JP" sz="1800" b="0">
              <a:latin typeface="+mj-lt"/>
              <a:ea typeface="メイリオ" panose="020B0604030504040204" pitchFamily="50" charset="-128"/>
            </a:rPr>
            <a:t>Notes</a:t>
          </a:r>
          <a:endParaRPr kumimoji="1" lang="ja-JP" altLang="en-US" sz="2000" b="0">
            <a:latin typeface="+mj-lt"/>
            <a:ea typeface="メイリオ" panose="020B0604030504040204" pitchFamily="50" charset="-128"/>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21</xdr:col>
      <xdr:colOff>435452</xdr:colOff>
      <xdr:row>0</xdr:row>
      <xdr:rowOff>585106</xdr:rowOff>
    </xdr:from>
    <xdr:to>
      <xdr:col>28</xdr:col>
      <xdr:colOff>413040</xdr:colOff>
      <xdr:row>2</xdr:row>
      <xdr:rowOff>159196</xdr:rowOff>
    </xdr:to>
    <xdr:sp macro="" textlink="">
      <xdr:nvSpPr>
        <xdr:cNvPr id="2" name="テキスト ボックス 1">
          <a:extLst>
            <a:ext uri="{FF2B5EF4-FFF2-40B4-BE49-F238E27FC236}">
              <a16:creationId xmlns:a16="http://schemas.microsoft.com/office/drawing/2014/main" id="{00000000-0008-0000-1900-00000F000000}"/>
            </a:ext>
          </a:extLst>
        </xdr:cNvPr>
        <xdr:cNvSpPr txBox="1"/>
      </xdr:nvSpPr>
      <xdr:spPr>
        <a:xfrm>
          <a:off x="15597011" y="585106"/>
          <a:ext cx="4213411" cy="448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latin typeface="メイリオ" panose="020B0604030504040204" pitchFamily="50" charset="-128"/>
              <a:ea typeface="メイリオ" panose="020B0604030504040204" pitchFamily="50" charset="-128"/>
            </a:rPr>
            <a:t>Ⅴ</a:t>
          </a:r>
          <a:r>
            <a:rPr kumimoji="1" lang="ja-JP" altLang="en-US" sz="2000" b="1">
              <a:latin typeface="メイリオ" panose="020B0604030504040204" pitchFamily="50" charset="-128"/>
              <a:ea typeface="メイリオ" panose="020B0604030504040204" pitchFamily="50" charset="-128"/>
            </a:rPr>
            <a:t>　注記事項</a:t>
          </a:r>
          <a:r>
            <a:rPr kumimoji="1" lang="ja-JP" altLang="en-US" sz="1400" b="1">
              <a:latin typeface="メイリオ" panose="020B0604030504040204" pitchFamily="50" charset="-128"/>
              <a:ea typeface="メイリオ" panose="020B0604030504040204" pitchFamily="50" charset="-128"/>
            </a:rPr>
            <a:t>　</a:t>
          </a:r>
          <a:r>
            <a:rPr kumimoji="1" lang="en-US" altLang="ja-JP" sz="1800" b="0">
              <a:latin typeface="+mj-lt"/>
              <a:ea typeface="メイリオ" panose="020B0604030504040204" pitchFamily="50" charset="-128"/>
            </a:rPr>
            <a:t>Notes</a:t>
          </a:r>
          <a:endParaRPr kumimoji="1" lang="ja-JP" altLang="en-US" sz="2000" b="0">
            <a:latin typeface="+mj-lt"/>
            <a:ea typeface="メイリオ" panose="020B0604030504040204" pitchFamily="50" charset="-128"/>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21</xdr:col>
      <xdr:colOff>446661</xdr:colOff>
      <xdr:row>0</xdr:row>
      <xdr:rowOff>585106</xdr:rowOff>
    </xdr:from>
    <xdr:to>
      <xdr:col>28</xdr:col>
      <xdr:colOff>424249</xdr:colOff>
      <xdr:row>2</xdr:row>
      <xdr:rowOff>159196</xdr:rowOff>
    </xdr:to>
    <xdr:sp macro="" textlink="">
      <xdr:nvSpPr>
        <xdr:cNvPr id="2" name="テキスト ボックス 1">
          <a:extLst>
            <a:ext uri="{FF2B5EF4-FFF2-40B4-BE49-F238E27FC236}">
              <a16:creationId xmlns:a16="http://schemas.microsoft.com/office/drawing/2014/main" id="{00000000-0008-0000-1900-00000F000000}"/>
            </a:ext>
          </a:extLst>
        </xdr:cNvPr>
        <xdr:cNvSpPr txBox="1"/>
      </xdr:nvSpPr>
      <xdr:spPr>
        <a:xfrm>
          <a:off x="15608220" y="585106"/>
          <a:ext cx="4213411" cy="448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latin typeface="メイリオ" panose="020B0604030504040204" pitchFamily="50" charset="-128"/>
              <a:ea typeface="メイリオ" panose="020B0604030504040204" pitchFamily="50" charset="-128"/>
            </a:rPr>
            <a:t>Ⅴ</a:t>
          </a:r>
          <a:r>
            <a:rPr kumimoji="1" lang="ja-JP" altLang="en-US" sz="2000" b="1">
              <a:latin typeface="メイリオ" panose="020B0604030504040204" pitchFamily="50" charset="-128"/>
              <a:ea typeface="メイリオ" panose="020B0604030504040204" pitchFamily="50" charset="-128"/>
            </a:rPr>
            <a:t>　注記事項</a:t>
          </a:r>
          <a:r>
            <a:rPr kumimoji="1" lang="ja-JP" altLang="en-US" sz="1400" b="1">
              <a:latin typeface="メイリオ" panose="020B0604030504040204" pitchFamily="50" charset="-128"/>
              <a:ea typeface="メイリオ" panose="020B0604030504040204" pitchFamily="50" charset="-128"/>
            </a:rPr>
            <a:t>　</a:t>
          </a:r>
          <a:r>
            <a:rPr kumimoji="1" lang="en-US" altLang="ja-JP" sz="1800" b="0">
              <a:latin typeface="+mj-lt"/>
              <a:ea typeface="メイリオ" panose="020B0604030504040204" pitchFamily="50" charset="-128"/>
            </a:rPr>
            <a:t>Notes</a:t>
          </a:r>
          <a:endParaRPr kumimoji="1" lang="ja-JP" altLang="en-US" sz="2000" b="0">
            <a:latin typeface="+mj-lt"/>
            <a:ea typeface="メイリオ"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6242</xdr:colOff>
      <xdr:row>21</xdr:row>
      <xdr:rowOff>76200</xdr:rowOff>
    </xdr:from>
    <xdr:to>
      <xdr:col>15</xdr:col>
      <xdr:colOff>202215</xdr:colOff>
      <xdr:row>34</xdr:row>
      <xdr:rowOff>31750</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45</xdr:row>
      <xdr:rowOff>0</xdr:rowOff>
    </xdr:from>
    <xdr:to>
      <xdr:col>0</xdr:col>
      <xdr:colOff>142875</xdr:colOff>
      <xdr:row>45</xdr:row>
      <xdr:rowOff>0</xdr:rowOff>
    </xdr:to>
    <xdr:sp macro="" textlink="">
      <xdr:nvSpPr>
        <xdr:cNvPr id="6" name="Line 6">
          <a:extLst>
            <a:ext uri="{FF2B5EF4-FFF2-40B4-BE49-F238E27FC236}">
              <a16:creationId xmlns:a16="http://schemas.microsoft.com/office/drawing/2014/main" id="{00000000-0008-0000-0400-000006000000}"/>
            </a:ext>
          </a:extLst>
        </xdr:cNvPr>
        <xdr:cNvSpPr>
          <a:spLocks noChangeShapeType="1"/>
        </xdr:cNvSpPr>
      </xdr:nvSpPr>
      <xdr:spPr bwMode="auto">
        <a:xfrm>
          <a:off x="142875" y="836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45</xdr:row>
      <xdr:rowOff>0</xdr:rowOff>
    </xdr:from>
    <xdr:to>
      <xdr:col>15</xdr:col>
      <xdr:colOff>0</xdr:colOff>
      <xdr:row>45</xdr:row>
      <xdr:rowOff>0</xdr:rowOff>
    </xdr:to>
    <xdr:sp macro="" textlink="">
      <xdr:nvSpPr>
        <xdr:cNvPr id="7" name="Line 7">
          <a:extLst>
            <a:ext uri="{FF2B5EF4-FFF2-40B4-BE49-F238E27FC236}">
              <a16:creationId xmlns:a16="http://schemas.microsoft.com/office/drawing/2014/main" id="{00000000-0008-0000-0400-000007000000}"/>
            </a:ext>
          </a:extLst>
        </xdr:cNvPr>
        <xdr:cNvSpPr>
          <a:spLocks noChangeShapeType="1"/>
        </xdr:cNvSpPr>
      </xdr:nvSpPr>
      <xdr:spPr bwMode="auto">
        <a:xfrm>
          <a:off x="8677275" y="8362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142875</xdr:colOff>
      <xdr:row>4</xdr:row>
      <xdr:rowOff>0</xdr:rowOff>
    </xdr:from>
    <xdr:to>
      <xdr:col>17</xdr:col>
      <xdr:colOff>142875</xdr:colOff>
      <xdr:row>23</xdr:row>
      <xdr:rowOff>133350</xdr:rowOff>
    </xdr:to>
    <xdr:sp macro="" textlink="">
      <xdr:nvSpPr>
        <xdr:cNvPr id="8" name="Line 10">
          <a:extLst>
            <a:ext uri="{FF2B5EF4-FFF2-40B4-BE49-F238E27FC236}">
              <a16:creationId xmlns:a16="http://schemas.microsoft.com/office/drawing/2014/main" id="{00000000-0008-0000-0400-000008000000}"/>
            </a:ext>
          </a:extLst>
        </xdr:cNvPr>
        <xdr:cNvSpPr>
          <a:spLocks noChangeShapeType="1"/>
        </xdr:cNvSpPr>
      </xdr:nvSpPr>
      <xdr:spPr bwMode="auto">
        <a:xfrm>
          <a:off x="9696450" y="438150"/>
          <a:ext cx="0" cy="3333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142875</xdr:colOff>
      <xdr:row>23</xdr:row>
      <xdr:rowOff>142875</xdr:rowOff>
    </xdr:from>
    <xdr:to>
      <xdr:col>33</xdr:col>
      <xdr:colOff>142875</xdr:colOff>
      <xdr:row>23</xdr:row>
      <xdr:rowOff>152400</xdr:rowOff>
    </xdr:to>
    <xdr:sp macro="" textlink="">
      <xdr:nvSpPr>
        <xdr:cNvPr id="9" name="Line 11">
          <a:extLst>
            <a:ext uri="{FF2B5EF4-FFF2-40B4-BE49-F238E27FC236}">
              <a16:creationId xmlns:a16="http://schemas.microsoft.com/office/drawing/2014/main" id="{00000000-0008-0000-0400-000009000000}"/>
            </a:ext>
          </a:extLst>
        </xdr:cNvPr>
        <xdr:cNvSpPr>
          <a:spLocks noChangeShapeType="1"/>
        </xdr:cNvSpPr>
      </xdr:nvSpPr>
      <xdr:spPr bwMode="auto">
        <a:xfrm flipV="1">
          <a:off x="9544050" y="4829175"/>
          <a:ext cx="878205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152400</xdr:colOff>
      <xdr:row>4</xdr:row>
      <xdr:rowOff>19050</xdr:rowOff>
    </xdr:from>
    <xdr:to>
      <xdr:col>33</xdr:col>
      <xdr:colOff>171450</xdr:colOff>
      <xdr:row>23</xdr:row>
      <xdr:rowOff>28575</xdr:rowOff>
    </xdr:to>
    <xdr:sp macro="" textlink="">
      <xdr:nvSpPr>
        <xdr:cNvPr id="10" name="Line 12">
          <a:extLst>
            <a:ext uri="{FF2B5EF4-FFF2-40B4-BE49-F238E27FC236}">
              <a16:creationId xmlns:a16="http://schemas.microsoft.com/office/drawing/2014/main" id="{00000000-0008-0000-0400-00000A000000}"/>
            </a:ext>
          </a:extLst>
        </xdr:cNvPr>
        <xdr:cNvSpPr>
          <a:spLocks noChangeShapeType="1"/>
        </xdr:cNvSpPr>
      </xdr:nvSpPr>
      <xdr:spPr bwMode="auto">
        <a:xfrm>
          <a:off x="18383250" y="457200"/>
          <a:ext cx="19050" cy="3209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142875</xdr:colOff>
      <xdr:row>4</xdr:row>
      <xdr:rowOff>0</xdr:rowOff>
    </xdr:from>
    <xdr:to>
      <xdr:col>33</xdr:col>
      <xdr:colOff>142875</xdr:colOff>
      <xdr:row>4</xdr:row>
      <xdr:rowOff>0</xdr:rowOff>
    </xdr:to>
    <xdr:sp macro="" textlink="">
      <xdr:nvSpPr>
        <xdr:cNvPr id="11" name="Line 13">
          <a:extLst>
            <a:ext uri="{FF2B5EF4-FFF2-40B4-BE49-F238E27FC236}">
              <a16:creationId xmlns:a16="http://schemas.microsoft.com/office/drawing/2014/main" id="{00000000-0008-0000-0400-00000B000000}"/>
            </a:ext>
          </a:extLst>
        </xdr:cNvPr>
        <xdr:cNvSpPr>
          <a:spLocks noChangeShapeType="1"/>
        </xdr:cNvSpPr>
      </xdr:nvSpPr>
      <xdr:spPr bwMode="auto">
        <a:xfrm flipH="1" flipV="1">
          <a:off x="9696450" y="438150"/>
          <a:ext cx="8677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419100</xdr:colOff>
      <xdr:row>2</xdr:row>
      <xdr:rowOff>161925</xdr:rowOff>
    </xdr:from>
    <xdr:to>
      <xdr:col>9</xdr:col>
      <xdr:colOff>428625</xdr:colOff>
      <xdr:row>5</xdr:row>
      <xdr:rowOff>76200</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419100" y="1190625"/>
          <a:ext cx="50958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mj-lt"/>
              <a:ea typeface="メイリオ" panose="020B0604030504040204" pitchFamily="50" charset="-128"/>
            </a:rPr>
            <a:t>（１）</a:t>
          </a:r>
          <a:r>
            <a:rPr kumimoji="1" lang="ja-JP" altLang="en-US" sz="900" b="1">
              <a:latin typeface="メイリオ" panose="020B0604030504040204" pitchFamily="50" charset="-128"/>
              <a:ea typeface="メイリオ" panose="020B0604030504040204" pitchFamily="50" charset="-128"/>
            </a:rPr>
            <a:t>自動車業界関連指標の推移（暦年）　</a:t>
          </a:r>
          <a:r>
            <a:rPr kumimoji="1" lang="en-US" altLang="ja-JP" sz="800" b="0">
              <a:latin typeface="+mn-lt"/>
              <a:ea typeface="メイリオ" panose="020B0604030504040204" pitchFamily="50" charset="-128"/>
            </a:rPr>
            <a:t>Automobile Industry Statistics (Calendar Year)</a:t>
          </a:r>
          <a:endParaRPr kumimoji="1" lang="ja-JP" altLang="en-US" sz="900" b="0">
            <a:latin typeface="+mn-lt"/>
            <a:ea typeface="メイリオ" panose="020B0604030504040204" pitchFamily="50" charset="-128"/>
          </a:endParaRPr>
        </a:p>
      </xdr:txBody>
    </xdr:sp>
    <xdr:clientData/>
  </xdr:twoCellAnchor>
  <xdr:twoCellAnchor>
    <xdr:from>
      <xdr:col>14</xdr:col>
      <xdr:colOff>160056</xdr:colOff>
      <xdr:row>2</xdr:row>
      <xdr:rowOff>132292</xdr:rowOff>
    </xdr:from>
    <xdr:to>
      <xdr:col>16</xdr:col>
      <xdr:colOff>64806</xdr:colOff>
      <xdr:row>4</xdr:row>
      <xdr:rowOff>8467</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7770531" y="1160992"/>
          <a:ext cx="9144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700" b="1">
              <a:solidFill>
                <a:srgbClr val="BDC3C4"/>
              </a:solidFill>
              <a:latin typeface="メイリオ" panose="020B0604030504040204" pitchFamily="50" charset="-128"/>
              <a:ea typeface="メイリオ" panose="020B0604030504040204" pitchFamily="50" charset="-128"/>
            </a:rPr>
            <a:t>Ⅱ-1.</a:t>
          </a:r>
          <a:r>
            <a:rPr kumimoji="1" lang="ja-JP" altLang="en-US" sz="700" b="1">
              <a:solidFill>
                <a:srgbClr val="BDC3C4"/>
              </a:solidFill>
              <a:latin typeface="メイリオ" panose="020B0604030504040204" pitchFamily="50" charset="-128"/>
              <a:ea typeface="メイリオ" panose="020B0604030504040204" pitchFamily="50" charset="-128"/>
            </a:rPr>
            <a:t>業界データ</a:t>
          </a:r>
        </a:p>
      </xdr:txBody>
    </xdr:sp>
    <xdr:clientData/>
  </xdr:twoCellAnchor>
  <xdr:twoCellAnchor>
    <xdr:from>
      <xdr:col>0</xdr:col>
      <xdr:colOff>535781</xdr:colOff>
      <xdr:row>20</xdr:row>
      <xdr:rowOff>86783</xdr:rowOff>
    </xdr:from>
    <xdr:to>
      <xdr:col>10</xdr:col>
      <xdr:colOff>40481</xdr:colOff>
      <xdr:row>22</xdr:row>
      <xdr:rowOff>67733</xdr:rowOff>
    </xdr:to>
    <xdr:sp macro="" textlink="">
      <xdr:nvSpPr>
        <xdr:cNvPr id="12" name="Text Box 46">
          <a:extLst>
            <a:ext uri="{FF2B5EF4-FFF2-40B4-BE49-F238E27FC236}">
              <a16:creationId xmlns:a16="http://schemas.microsoft.com/office/drawing/2014/main" id="{00000000-0008-0000-0400-00000C000000}"/>
            </a:ext>
          </a:extLst>
        </xdr:cNvPr>
        <xdr:cNvSpPr txBox="1">
          <a:spLocks noChangeArrowheads="1"/>
        </xdr:cNvSpPr>
      </xdr:nvSpPr>
      <xdr:spPr bwMode="auto">
        <a:xfrm>
          <a:off x="535781" y="3896783"/>
          <a:ext cx="5053013"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700" b="1" i="0" u="none" strike="noStrike" baseline="0">
              <a:solidFill>
                <a:srgbClr val="000000"/>
              </a:solidFill>
              <a:latin typeface="メイリオ" panose="020B0604030504040204" pitchFamily="50" charset="-128"/>
              <a:ea typeface="メイリオ" panose="020B0604030504040204" pitchFamily="50" charset="-128"/>
            </a:rPr>
            <a:t>新車登録台数および中古車登録台数の推移（暦年）　</a:t>
          </a:r>
          <a:r>
            <a:rPr lang="en-US" altLang="ja-JP" sz="600" b="0" i="0" u="none" strike="noStrike" baseline="0">
              <a:solidFill>
                <a:srgbClr val="000000"/>
              </a:solidFill>
              <a:latin typeface="+mj-lt"/>
              <a:ea typeface="メイリオ" panose="020B0604030504040204" pitchFamily="50" charset="-128"/>
            </a:rPr>
            <a:t>No. of Registered New Vehicles and Used Vehicles (Calendar Year)</a:t>
          </a:r>
        </a:p>
      </xdr:txBody>
    </xdr:sp>
    <xdr:clientData/>
  </xdr:twoCellAnchor>
  <xdr:twoCellAnchor>
    <xdr:from>
      <xdr:col>1</xdr:col>
      <xdr:colOff>648</xdr:colOff>
      <xdr:row>22</xdr:row>
      <xdr:rowOff>36777</xdr:rowOff>
    </xdr:from>
    <xdr:to>
      <xdr:col>2</xdr:col>
      <xdr:colOff>303196</xdr:colOff>
      <xdr:row>23</xdr:row>
      <xdr:rowOff>142875</xdr:rowOff>
    </xdr:to>
    <xdr:sp macro="" textlink="">
      <xdr:nvSpPr>
        <xdr:cNvPr id="19" name="Text Box 46">
          <a:extLst>
            <a:ext uri="{FF2B5EF4-FFF2-40B4-BE49-F238E27FC236}">
              <a16:creationId xmlns:a16="http://schemas.microsoft.com/office/drawing/2014/main" id="{00000000-0008-0000-0400-000013000000}"/>
            </a:ext>
          </a:extLst>
        </xdr:cNvPr>
        <xdr:cNvSpPr txBox="1">
          <a:spLocks noChangeArrowheads="1"/>
        </xdr:cNvSpPr>
      </xdr:nvSpPr>
      <xdr:spPr bwMode="auto">
        <a:xfrm>
          <a:off x="545872" y="4109536"/>
          <a:ext cx="1353583" cy="204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600" b="0" i="0" u="none" strike="noStrike" baseline="0">
              <a:solidFill>
                <a:srgbClr val="000000"/>
              </a:solidFill>
              <a:latin typeface="メイリオ" panose="020B0604030504040204" pitchFamily="50" charset="-128"/>
              <a:ea typeface="メイリオ" panose="020B0604030504040204" pitchFamily="50" charset="-128"/>
            </a:rPr>
            <a:t>千台</a:t>
          </a:r>
          <a:r>
            <a:rPr lang="ja-JP" altLang="en-US" sz="600" b="0" i="0" u="none" strike="noStrike" baseline="0">
              <a:solidFill>
                <a:srgbClr val="000000"/>
              </a:solidFill>
              <a:latin typeface="+mj-lt"/>
              <a:ea typeface="メイリオ" panose="020B0604030504040204" pitchFamily="50" charset="-128"/>
              <a:cs typeface="Calibri" panose="020F0502020204030204" pitchFamily="34" charset="0"/>
            </a:rPr>
            <a:t>　</a:t>
          </a:r>
          <a:r>
            <a:rPr lang="en-US" altLang="ja-JP" sz="600" b="0" i="0" u="none" strike="noStrike" baseline="0">
              <a:solidFill>
                <a:srgbClr val="000000"/>
              </a:solidFill>
              <a:latin typeface="+mj-lt"/>
              <a:ea typeface="メイリオ" panose="020B0604030504040204" pitchFamily="50" charset="-128"/>
              <a:cs typeface="Calibri" panose="020F0502020204030204" pitchFamily="34" charset="0"/>
            </a:rPr>
            <a:t>Thousand Vehicles</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14</xdr:col>
      <xdr:colOff>360175</xdr:colOff>
      <xdr:row>31</xdr:row>
      <xdr:rowOff>97346</xdr:rowOff>
    </xdr:from>
    <xdr:to>
      <xdr:col>15</xdr:col>
      <xdr:colOff>378595</xdr:colOff>
      <xdr:row>32</xdr:row>
      <xdr:rowOff>99728</xdr:rowOff>
    </xdr:to>
    <xdr:sp macro="" textlink="">
      <xdr:nvSpPr>
        <xdr:cNvPr id="21" name="Text Box 17">
          <a:extLst>
            <a:ext uri="{FF2B5EF4-FFF2-40B4-BE49-F238E27FC236}">
              <a16:creationId xmlns:a16="http://schemas.microsoft.com/office/drawing/2014/main" id="{00000000-0008-0000-0400-000015000000}"/>
            </a:ext>
          </a:extLst>
        </xdr:cNvPr>
        <xdr:cNvSpPr txBox="1">
          <a:spLocks noChangeArrowheads="1"/>
        </xdr:cNvSpPr>
      </xdr:nvSpPr>
      <xdr:spPr bwMode="auto">
        <a:xfrm>
          <a:off x="7991381" y="5958022"/>
          <a:ext cx="522685" cy="192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600" b="0" i="0" u="none" strike="noStrike" baseline="0">
              <a:solidFill>
                <a:srgbClr val="000000"/>
              </a:solidFill>
              <a:latin typeface="メイリオ" panose="020B0604030504040204" pitchFamily="50" charset="-128"/>
              <a:ea typeface="メイリオ" panose="020B0604030504040204" pitchFamily="50" charset="-128"/>
            </a:rPr>
            <a:t>暦年　</a:t>
          </a:r>
          <a:r>
            <a:rPr lang="en-US" altLang="ja-JP" sz="600" b="0" i="0" u="none" strike="noStrike" baseline="0">
              <a:solidFill>
                <a:srgbClr val="000000"/>
              </a:solidFill>
              <a:latin typeface="+mj-lt"/>
              <a:ea typeface="メイリオ" panose="020B0604030504040204" pitchFamily="50" charset="-128"/>
            </a:rPr>
            <a:t>CY</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xdr:from>
      <xdr:col>0</xdr:col>
      <xdr:colOff>38100</xdr:colOff>
      <xdr:row>1</xdr:row>
      <xdr:rowOff>66675</xdr:rowOff>
    </xdr:from>
    <xdr:to>
      <xdr:col>9</xdr:col>
      <xdr:colOff>65616</xdr:colOff>
      <xdr:row>1</xdr:row>
      <xdr:rowOff>419100</xdr:rowOff>
    </xdr:to>
    <xdr:sp macro="" textlink="">
      <xdr:nvSpPr>
        <xdr:cNvPr id="16" name="テキスト ボックス 15">
          <a:extLst>
            <a:ext uri="{FF2B5EF4-FFF2-40B4-BE49-F238E27FC236}">
              <a16:creationId xmlns:a16="http://schemas.microsoft.com/office/drawing/2014/main" id="{00000000-0008-0000-0400-00000E000000}"/>
            </a:ext>
          </a:extLst>
        </xdr:cNvPr>
        <xdr:cNvSpPr txBox="1"/>
      </xdr:nvSpPr>
      <xdr:spPr>
        <a:xfrm>
          <a:off x="38100" y="581025"/>
          <a:ext cx="5113866"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baseline="0">
              <a:latin typeface="+mj-lt"/>
              <a:ea typeface="メイリオ" panose="020B0604030504040204" pitchFamily="50" charset="-128"/>
            </a:rPr>
            <a:t>Ⅱ. </a:t>
          </a:r>
          <a:r>
            <a:rPr kumimoji="1" lang="ja-JP" altLang="en-US" sz="1000" b="1" baseline="0">
              <a:latin typeface="+mj-lt"/>
              <a:ea typeface="メイリオ" panose="020B0604030504040204" pitchFamily="50" charset="-128"/>
            </a:rPr>
            <a:t>オートオークションデータ</a:t>
          </a:r>
          <a:r>
            <a:rPr kumimoji="1" lang="ja-JP" altLang="en-US" sz="1000" b="1">
              <a:latin typeface="メイリオ" panose="020B0604030504040204" pitchFamily="50" charset="-128"/>
              <a:ea typeface="メイリオ" panose="020B0604030504040204" pitchFamily="50" charset="-128"/>
            </a:rPr>
            <a:t>　</a:t>
          </a:r>
          <a:r>
            <a:rPr kumimoji="1" lang="en-US" altLang="ja-JP" sz="900" b="0">
              <a:latin typeface="+mn-lt"/>
              <a:ea typeface="メイリオ" panose="020B0604030504040204" pitchFamily="50" charset="-128"/>
            </a:rPr>
            <a:t>Auto Auction Data</a:t>
          </a:r>
          <a:endParaRPr kumimoji="1" lang="ja-JP" altLang="en-US" sz="1000" b="0">
            <a:latin typeface="+mn-lt"/>
            <a:ea typeface="メイリオ" panose="020B0604030504040204" pitchFamily="50" charset="-128"/>
          </a:endParaRPr>
        </a:p>
      </xdr:txBody>
    </xdr:sp>
    <xdr:clientData/>
  </xdr:twoCellAnchor>
  <xdr:twoCellAnchor>
    <xdr:from>
      <xdr:col>0</xdr:col>
      <xdr:colOff>276225</xdr:colOff>
      <xdr:row>1</xdr:row>
      <xdr:rowOff>371475</xdr:rowOff>
    </xdr:from>
    <xdr:to>
      <xdr:col>9</xdr:col>
      <xdr:colOff>303741</xdr:colOff>
      <xdr:row>3</xdr:row>
      <xdr:rowOff>28575</xdr:rowOff>
    </xdr:to>
    <xdr:sp macro="" textlink="">
      <xdr:nvSpPr>
        <xdr:cNvPr id="17" name="テキスト ボックス 16">
          <a:extLst>
            <a:ext uri="{FF2B5EF4-FFF2-40B4-BE49-F238E27FC236}">
              <a16:creationId xmlns:a16="http://schemas.microsoft.com/office/drawing/2014/main" id="{00000000-0008-0000-0400-00000E000000}"/>
            </a:ext>
          </a:extLst>
        </xdr:cNvPr>
        <xdr:cNvSpPr txBox="1"/>
      </xdr:nvSpPr>
      <xdr:spPr>
        <a:xfrm>
          <a:off x="276225" y="885825"/>
          <a:ext cx="5113866"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baseline="0">
              <a:latin typeface="+mj-lt"/>
              <a:ea typeface="メイリオ" panose="020B0604030504040204" pitchFamily="50" charset="-128"/>
            </a:rPr>
            <a:t>1.</a:t>
          </a:r>
          <a:r>
            <a:rPr kumimoji="1" lang="ja-JP" altLang="en-US" sz="1000" b="1" baseline="0">
              <a:latin typeface="+mj-lt"/>
              <a:ea typeface="メイリオ" panose="020B0604030504040204" pitchFamily="50" charset="-128"/>
            </a:rPr>
            <a:t> </a:t>
          </a:r>
          <a:r>
            <a:rPr kumimoji="1" lang="ja-JP" altLang="en-US" sz="1000" b="1">
              <a:latin typeface="メイリオ" panose="020B0604030504040204" pitchFamily="50" charset="-128"/>
              <a:ea typeface="メイリオ" panose="020B0604030504040204" pitchFamily="50" charset="-128"/>
            </a:rPr>
            <a:t>業界データ　</a:t>
          </a:r>
          <a:r>
            <a:rPr kumimoji="1" lang="en-US" altLang="ja-JP" sz="900" b="0">
              <a:latin typeface="+mn-lt"/>
              <a:ea typeface="メイリオ" panose="020B0604030504040204" pitchFamily="50" charset="-128"/>
            </a:rPr>
            <a:t>Industry</a:t>
          </a:r>
          <a:r>
            <a:rPr kumimoji="1" lang="ja-JP" altLang="en-US" sz="900" b="0" baseline="0">
              <a:latin typeface="+mn-lt"/>
              <a:ea typeface="メイリオ" panose="020B0604030504040204" pitchFamily="50" charset="-128"/>
            </a:rPr>
            <a:t> </a:t>
          </a:r>
          <a:r>
            <a:rPr kumimoji="1" lang="en-US" altLang="ja-JP" sz="900" b="0">
              <a:latin typeface="+mn-lt"/>
              <a:ea typeface="メイリオ" panose="020B0604030504040204" pitchFamily="50" charset="-128"/>
            </a:rPr>
            <a:t>Data</a:t>
          </a:r>
          <a:endParaRPr kumimoji="1" lang="ja-JP" altLang="en-US" sz="1000" b="0">
            <a:latin typeface="+mn-lt"/>
            <a:ea typeface="メイリオ" panose="020B0604030504040204" pitchFamily="50" charset="-128"/>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0.94002</cdr:x>
      <cdr:y>0.05562</cdr:y>
    </cdr:from>
    <cdr:to>
      <cdr:x>0.94002</cdr:x>
      <cdr:y>0.05562</cdr:y>
    </cdr:to>
    <cdr:sp macro="" textlink="">
      <cdr:nvSpPr>
        <cdr:cNvPr id="741377" name="Text Box 1"/>
        <cdr:cNvSpPr txBox="1">
          <a:spLocks xmlns:a="http://schemas.openxmlformats.org/drawingml/2006/main" noChangeArrowheads="1"/>
        </cdr:cNvSpPr>
      </cdr:nvSpPr>
      <cdr:spPr bwMode="auto">
        <a:xfrm xmlns:a="http://schemas.openxmlformats.org/drawingml/2006/main">
          <a:off x="8007795" y="164214"/>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680" b="0" i="0" u="none" strike="noStrike" baseline="0">
              <a:solidFill>
                <a:srgbClr val="000000"/>
              </a:solidFill>
              <a:latin typeface="ＭＳ Ｐゴシック"/>
              <a:ea typeface="ＭＳ Ｐゴシック"/>
            </a:rPr>
            <a:t>（千台）</a:t>
          </a:r>
        </a:p>
      </cdr:txBody>
    </cdr:sp>
  </cdr:relSizeAnchor>
  <cdr:relSizeAnchor xmlns:cdr="http://schemas.openxmlformats.org/drawingml/2006/chartDrawing">
    <cdr:from>
      <cdr:x>0.91357</cdr:x>
      <cdr:y>0.71034</cdr:y>
    </cdr:from>
    <cdr:to>
      <cdr:x>0.91357</cdr:x>
      <cdr:y>0.71034</cdr:y>
    </cdr:to>
    <cdr:sp macro="" textlink="">
      <cdr:nvSpPr>
        <cdr:cNvPr id="741378" name="Text Box 2"/>
        <cdr:cNvSpPr txBox="1">
          <a:spLocks xmlns:a="http://schemas.openxmlformats.org/drawingml/2006/main" noChangeArrowheads="1"/>
        </cdr:cNvSpPr>
      </cdr:nvSpPr>
      <cdr:spPr bwMode="auto">
        <a:xfrm xmlns:a="http://schemas.openxmlformats.org/drawingml/2006/main">
          <a:off x="7780452" y="2050250"/>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680" b="0" i="0" u="none" strike="noStrike" baseline="0">
              <a:solidFill>
                <a:srgbClr val="000000"/>
              </a:solidFill>
              <a:latin typeface="ＭＳ Ｐゴシック"/>
              <a:ea typeface="ＭＳ Ｐゴシック"/>
            </a:rPr>
            <a:t>（暦年）</a:t>
          </a: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1</xdr:col>
      <xdr:colOff>171701</xdr:colOff>
      <xdr:row>20</xdr:row>
      <xdr:rowOff>15927</xdr:rowOff>
    </xdr:from>
    <xdr:to>
      <xdr:col>52</xdr:col>
      <xdr:colOff>56028</xdr:colOff>
      <xdr:row>30</xdr:row>
      <xdr:rowOff>57392</xdr:rowOff>
    </xdr:to>
    <xdr:graphicFrame macro="">
      <xdr:nvGraphicFramePr>
        <xdr:cNvPr id="2" name="グラフ 45">
          <a:extLst>
            <a:ext uri="{FF2B5EF4-FFF2-40B4-BE49-F238E27FC236}">
              <a16:creationId xmlns:a16="http://schemas.microsoft.com/office/drawing/2014/main" id="{00000000-0008-0000-0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142875</xdr:colOff>
      <xdr:row>73</xdr:row>
      <xdr:rowOff>154579</xdr:rowOff>
    </xdr:from>
    <xdr:to>
      <xdr:col>0</xdr:col>
      <xdr:colOff>142875</xdr:colOff>
      <xdr:row>73</xdr:row>
      <xdr:rowOff>154579</xdr:rowOff>
    </xdr:to>
    <xdr:sp macro="" textlink="">
      <xdr:nvSpPr>
        <xdr:cNvPr id="4" name="Line 21">
          <a:extLst>
            <a:ext uri="{FF2B5EF4-FFF2-40B4-BE49-F238E27FC236}">
              <a16:creationId xmlns:a16="http://schemas.microsoft.com/office/drawing/2014/main" id="{00000000-0008-0000-0500-000006000000}"/>
            </a:ext>
          </a:extLst>
        </xdr:cNvPr>
        <xdr:cNvSpPr>
          <a:spLocks noChangeShapeType="1"/>
        </xdr:cNvSpPr>
      </xdr:nvSpPr>
      <xdr:spPr bwMode="auto">
        <a:xfrm>
          <a:off x="142875" y="9324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11</xdr:col>
      <xdr:colOff>64799</xdr:colOff>
      <xdr:row>75</xdr:row>
      <xdr:rowOff>154581</xdr:rowOff>
    </xdr:from>
    <xdr:to>
      <xdr:col>11</xdr:col>
      <xdr:colOff>64799</xdr:colOff>
      <xdr:row>75</xdr:row>
      <xdr:rowOff>154581</xdr:rowOff>
    </xdr:to>
    <xdr:sp macro="" textlink="">
      <xdr:nvSpPr>
        <xdr:cNvPr id="5" name="Line 24">
          <a:extLst>
            <a:ext uri="{FF2B5EF4-FFF2-40B4-BE49-F238E27FC236}">
              <a16:creationId xmlns:a16="http://schemas.microsoft.com/office/drawing/2014/main" id="{00000000-0008-0000-0500-000007000000}"/>
            </a:ext>
          </a:extLst>
        </xdr:cNvPr>
        <xdr:cNvSpPr>
          <a:spLocks noChangeShapeType="1"/>
        </xdr:cNvSpPr>
      </xdr:nvSpPr>
      <xdr:spPr bwMode="auto">
        <a:xfrm>
          <a:off x="7515225" y="964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0</xdr:col>
      <xdr:colOff>200399</xdr:colOff>
      <xdr:row>1</xdr:row>
      <xdr:rowOff>112140</xdr:rowOff>
    </xdr:from>
    <xdr:to>
      <xdr:col>10</xdr:col>
      <xdr:colOff>178376</xdr:colOff>
      <xdr:row>3</xdr:row>
      <xdr:rowOff>59472</xdr:rowOff>
    </xdr:to>
    <xdr:sp macro="" textlink="">
      <xdr:nvSpPr>
        <xdr:cNvPr id="10" name="テキスト ボックス 9">
          <a:extLst>
            <a:ext uri="{FF2B5EF4-FFF2-40B4-BE49-F238E27FC236}">
              <a16:creationId xmlns:a16="http://schemas.microsoft.com/office/drawing/2014/main" id="{00000000-0008-0000-0500-00000F000000}"/>
            </a:ext>
          </a:extLst>
        </xdr:cNvPr>
        <xdr:cNvSpPr txBox="1"/>
      </xdr:nvSpPr>
      <xdr:spPr>
        <a:xfrm>
          <a:off x="200399" y="455040"/>
          <a:ext cx="6931227" cy="290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（２）中古車輸出台数の推移（暦年）　</a:t>
          </a:r>
          <a:r>
            <a:rPr kumimoji="1" lang="en-US" altLang="ja-JP" sz="900" b="0">
              <a:latin typeface="+mj-lt"/>
              <a:ea typeface="メイリオ" panose="020B0604030504040204" pitchFamily="50" charset="-128"/>
            </a:rPr>
            <a:t>Used Car Exports (Calendar Year)</a:t>
          </a:r>
          <a:endParaRPr kumimoji="1" lang="ja-JP" altLang="en-US" sz="1000" b="0">
            <a:latin typeface="+mj-lt"/>
            <a:ea typeface="メイリオ" panose="020B0604030504040204" pitchFamily="50" charset="-128"/>
          </a:endParaRPr>
        </a:p>
      </xdr:txBody>
    </xdr:sp>
    <xdr:clientData/>
  </xdr:twoCellAnchor>
  <xdr:twoCellAnchor editAs="absolute">
    <xdr:from>
      <xdr:col>14</xdr:col>
      <xdr:colOff>213575</xdr:colOff>
      <xdr:row>1</xdr:row>
      <xdr:rowOff>92896</xdr:rowOff>
    </xdr:from>
    <xdr:to>
      <xdr:col>16</xdr:col>
      <xdr:colOff>113452</xdr:colOff>
      <xdr:row>2</xdr:row>
      <xdr:rowOff>129047</xdr:rowOff>
    </xdr:to>
    <xdr:sp macro="" textlink="">
      <xdr:nvSpPr>
        <xdr:cNvPr id="11" name="テキスト ボックス 10">
          <a:extLst>
            <a:ext uri="{FF2B5EF4-FFF2-40B4-BE49-F238E27FC236}">
              <a16:creationId xmlns:a16="http://schemas.microsoft.com/office/drawing/2014/main" id="{00000000-0008-0000-0500-000012000000}"/>
            </a:ext>
          </a:extLst>
        </xdr:cNvPr>
        <xdr:cNvSpPr txBox="1"/>
      </xdr:nvSpPr>
      <xdr:spPr>
        <a:xfrm>
          <a:off x="9167075" y="432483"/>
          <a:ext cx="893790" cy="243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700" b="1">
              <a:solidFill>
                <a:srgbClr val="BDC3C4"/>
              </a:solidFill>
              <a:latin typeface="メイリオ" panose="020B0604030504040204" pitchFamily="50" charset="-128"/>
              <a:ea typeface="メイリオ" panose="020B0604030504040204" pitchFamily="50" charset="-128"/>
            </a:rPr>
            <a:t>Ⅱ-1.</a:t>
          </a:r>
          <a:r>
            <a:rPr kumimoji="1" lang="ja-JP" altLang="en-US" sz="700" b="1">
              <a:solidFill>
                <a:srgbClr val="BDC3C4"/>
              </a:solidFill>
              <a:latin typeface="メイリオ" panose="020B0604030504040204" pitchFamily="50" charset="-128"/>
              <a:ea typeface="メイリオ" panose="020B0604030504040204" pitchFamily="50" charset="-128"/>
            </a:rPr>
            <a:t>業界データ</a:t>
          </a:r>
        </a:p>
      </xdr:txBody>
    </xdr:sp>
    <xdr:clientData/>
  </xdr:twoCellAnchor>
  <xdr:twoCellAnchor editAs="absolute">
    <xdr:from>
      <xdr:col>1</xdr:col>
      <xdr:colOff>185317</xdr:colOff>
      <xdr:row>19</xdr:row>
      <xdr:rowOff>111019</xdr:rowOff>
    </xdr:from>
    <xdr:to>
      <xdr:col>2</xdr:col>
      <xdr:colOff>1744030</xdr:colOff>
      <xdr:row>20</xdr:row>
      <xdr:rowOff>111019</xdr:rowOff>
    </xdr:to>
    <xdr:sp macro="" textlink="">
      <xdr:nvSpPr>
        <xdr:cNvPr id="12" name="Text Box 46">
          <a:extLst>
            <a:ext uri="{FF2B5EF4-FFF2-40B4-BE49-F238E27FC236}">
              <a16:creationId xmlns:a16="http://schemas.microsoft.com/office/drawing/2014/main" id="{00000000-0008-0000-0500-000013000000}"/>
            </a:ext>
          </a:extLst>
        </xdr:cNvPr>
        <xdr:cNvSpPr txBox="1">
          <a:spLocks noChangeArrowheads="1"/>
        </xdr:cNvSpPr>
      </xdr:nvSpPr>
      <xdr:spPr bwMode="auto">
        <a:xfrm>
          <a:off x="521493" y="4007645"/>
          <a:ext cx="2819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700" b="1" i="0" u="none" strike="noStrike" baseline="0">
              <a:solidFill>
                <a:srgbClr val="000000"/>
              </a:solidFill>
              <a:latin typeface="メイリオ" panose="020B0604030504040204" pitchFamily="50" charset="-128"/>
              <a:ea typeface="メイリオ" panose="020B0604030504040204" pitchFamily="50" charset="-128"/>
            </a:rPr>
            <a:t>中古車輸出台数（暦年）　</a:t>
          </a:r>
          <a:r>
            <a:rPr lang="en-US" altLang="ja-JP" sz="600" b="0" i="0" u="none" strike="noStrike" baseline="0">
              <a:solidFill>
                <a:srgbClr val="000000"/>
              </a:solidFill>
              <a:latin typeface="+mj-lt"/>
              <a:ea typeface="メイリオ" panose="020B0604030504040204" pitchFamily="50" charset="-128"/>
            </a:rPr>
            <a:t>Used Car Exports (Calendar Year)</a:t>
          </a:r>
        </a:p>
      </xdr:txBody>
    </xdr:sp>
    <xdr:clientData/>
  </xdr:twoCellAnchor>
  <xdr:twoCellAnchor editAs="absolute">
    <xdr:from>
      <xdr:col>12</xdr:col>
      <xdr:colOff>163222</xdr:colOff>
      <xdr:row>29</xdr:row>
      <xdr:rowOff>126258</xdr:rowOff>
    </xdr:from>
    <xdr:to>
      <xdr:col>13</xdr:col>
      <xdr:colOff>181642</xdr:colOff>
      <xdr:row>30</xdr:row>
      <xdr:rowOff>38993</xdr:rowOff>
    </xdr:to>
    <xdr:sp macro="" textlink="">
      <xdr:nvSpPr>
        <xdr:cNvPr id="14" name="Text Box 17">
          <a:extLst>
            <a:ext uri="{FF2B5EF4-FFF2-40B4-BE49-F238E27FC236}">
              <a16:creationId xmlns:a16="http://schemas.microsoft.com/office/drawing/2014/main" id="{00000000-0008-0000-0500-000014000000}"/>
            </a:ext>
          </a:extLst>
        </xdr:cNvPr>
        <xdr:cNvSpPr txBox="1">
          <a:spLocks noChangeArrowheads="1"/>
        </xdr:cNvSpPr>
      </xdr:nvSpPr>
      <xdr:spPr bwMode="auto">
        <a:xfrm>
          <a:off x="8132553" y="5946983"/>
          <a:ext cx="515377" cy="192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600" b="0" i="0" u="none" strike="noStrike" baseline="0">
              <a:solidFill>
                <a:srgbClr val="000000"/>
              </a:solidFill>
              <a:latin typeface="メイリオ" panose="020B0604030504040204" pitchFamily="50" charset="-128"/>
              <a:ea typeface="メイリオ" panose="020B0604030504040204" pitchFamily="50" charset="-128"/>
            </a:rPr>
            <a:t>暦年　</a:t>
          </a:r>
          <a:r>
            <a:rPr lang="en-US" altLang="ja-JP" sz="600" b="0" i="0" u="none" strike="noStrike" baseline="0">
              <a:solidFill>
                <a:srgbClr val="000000"/>
              </a:solidFill>
              <a:latin typeface="+mj-lt"/>
              <a:ea typeface="メイリオ" panose="020B0604030504040204" pitchFamily="50" charset="-128"/>
            </a:rPr>
            <a:t>CY</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editAs="absolute">
    <xdr:from>
      <xdr:col>1</xdr:col>
      <xdr:colOff>173412</xdr:colOff>
      <xdr:row>20</xdr:row>
      <xdr:rowOff>129011</xdr:rowOff>
    </xdr:from>
    <xdr:to>
      <xdr:col>2</xdr:col>
      <xdr:colOff>268593</xdr:colOff>
      <xdr:row>21</xdr:row>
      <xdr:rowOff>63736</xdr:rowOff>
    </xdr:to>
    <xdr:sp macro="" textlink="">
      <xdr:nvSpPr>
        <xdr:cNvPr id="15" name="Text Box 46">
          <a:extLst>
            <a:ext uri="{FF2B5EF4-FFF2-40B4-BE49-F238E27FC236}">
              <a16:creationId xmlns:a16="http://schemas.microsoft.com/office/drawing/2014/main" id="{00000000-0008-0000-0500-000016000000}"/>
            </a:ext>
          </a:extLst>
        </xdr:cNvPr>
        <xdr:cNvSpPr txBox="1">
          <a:spLocks noChangeArrowheads="1"/>
        </xdr:cNvSpPr>
      </xdr:nvSpPr>
      <xdr:spPr bwMode="auto">
        <a:xfrm>
          <a:off x="509588" y="4197087"/>
          <a:ext cx="1357524" cy="1285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600" b="0" i="0" u="none" strike="noStrike" baseline="0">
              <a:solidFill>
                <a:srgbClr val="000000"/>
              </a:solidFill>
              <a:latin typeface="メイリオ" panose="020B0604030504040204" pitchFamily="50" charset="-128"/>
              <a:ea typeface="メイリオ" panose="020B0604030504040204" pitchFamily="50" charset="-128"/>
            </a:rPr>
            <a:t>千台　</a:t>
          </a:r>
          <a:r>
            <a:rPr lang="en-US" altLang="ja-JP" sz="600" b="0" i="0" u="none" strike="noStrike" baseline="0">
              <a:solidFill>
                <a:srgbClr val="000000"/>
              </a:solidFill>
              <a:latin typeface="+mj-lt"/>
              <a:ea typeface="メイリオ" panose="020B0604030504040204" pitchFamily="50" charset="-128"/>
              <a:cs typeface="Calibri" panose="020F0502020204030204" pitchFamily="34" charset="0"/>
            </a:rPr>
            <a:t>Thousand Vehicles</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147964</xdr:colOff>
      <xdr:row>15</xdr:row>
      <xdr:rowOff>116133</xdr:rowOff>
    </xdr:from>
    <xdr:to>
      <xdr:col>16</xdr:col>
      <xdr:colOff>279524</xdr:colOff>
      <xdr:row>31</xdr:row>
      <xdr:rowOff>403</xdr:rowOff>
    </xdr:to>
    <xdr:graphicFrame macro="">
      <xdr:nvGraphicFramePr>
        <xdr:cNvPr id="2" name="グラフ 10">
          <a:extLst>
            <a:ext uri="{FF2B5EF4-FFF2-40B4-BE49-F238E27FC236}">
              <a16:creationId xmlns:a16="http://schemas.microsoft.com/office/drawing/2014/main" id="{00000000-0008-0000-0600-00008DF90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13</xdr:col>
      <xdr:colOff>138626</xdr:colOff>
      <xdr:row>23</xdr:row>
      <xdr:rowOff>178009</xdr:rowOff>
    </xdr:from>
    <xdr:to>
      <xdr:col>13</xdr:col>
      <xdr:colOff>138626</xdr:colOff>
      <xdr:row>23</xdr:row>
      <xdr:rowOff>178009</xdr:rowOff>
    </xdr:to>
    <xdr:sp macro="" textlink="">
      <xdr:nvSpPr>
        <xdr:cNvPr id="3" name="Line 8">
          <a:extLst>
            <a:ext uri="{FF2B5EF4-FFF2-40B4-BE49-F238E27FC236}">
              <a16:creationId xmlns:a16="http://schemas.microsoft.com/office/drawing/2014/main" id="{00000000-0008-0000-0600-00008BF90C00}"/>
            </a:ext>
          </a:extLst>
        </xdr:cNvPr>
        <xdr:cNvSpPr>
          <a:spLocks noChangeShapeType="1"/>
        </xdr:cNvSpPr>
      </xdr:nvSpPr>
      <xdr:spPr bwMode="auto">
        <a:xfrm>
          <a:off x="8562975" y="5391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10</xdr:col>
      <xdr:colOff>193700</xdr:colOff>
      <xdr:row>29</xdr:row>
      <xdr:rowOff>165385</xdr:rowOff>
    </xdr:from>
    <xdr:to>
      <xdr:col>11</xdr:col>
      <xdr:colOff>165236</xdr:colOff>
      <xdr:row>31</xdr:row>
      <xdr:rowOff>25862</xdr:rowOff>
    </xdr:to>
    <xdr:sp macro="" textlink="">
      <xdr:nvSpPr>
        <xdr:cNvPr id="9" name="Text Box 17">
          <a:extLst>
            <a:ext uri="{FF2B5EF4-FFF2-40B4-BE49-F238E27FC236}">
              <a16:creationId xmlns:a16="http://schemas.microsoft.com/office/drawing/2014/main" id="{00000000-0008-0000-0600-000011F80C00}"/>
            </a:ext>
          </a:extLst>
        </xdr:cNvPr>
        <xdr:cNvSpPr txBox="1">
          <a:spLocks noChangeArrowheads="1"/>
        </xdr:cNvSpPr>
      </xdr:nvSpPr>
      <xdr:spPr bwMode="auto">
        <a:xfrm>
          <a:off x="7130141" y="5926368"/>
          <a:ext cx="464595" cy="2237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600" b="0" i="0" u="none" strike="noStrike" baseline="0">
              <a:solidFill>
                <a:srgbClr val="000000"/>
              </a:solidFill>
              <a:latin typeface="メイリオ" panose="020B0604030504040204" pitchFamily="50" charset="-128"/>
              <a:ea typeface="メイリオ" panose="020B0604030504040204" pitchFamily="50" charset="-128"/>
            </a:rPr>
            <a:t>暦年　</a:t>
          </a:r>
          <a:r>
            <a:rPr lang="en-US" altLang="ja-JP" sz="600" b="0" i="0" u="none" strike="noStrike" baseline="0">
              <a:solidFill>
                <a:srgbClr val="000000"/>
              </a:solidFill>
              <a:latin typeface="+mn-lt"/>
              <a:ea typeface="メイリオ" panose="020B0604030504040204" pitchFamily="50" charset="-128"/>
            </a:rPr>
            <a:t>CY</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editAs="absolute">
    <xdr:from>
      <xdr:col>0</xdr:col>
      <xdr:colOff>243417</xdr:colOff>
      <xdr:row>1</xdr:row>
      <xdr:rowOff>127000</xdr:rowOff>
    </xdr:from>
    <xdr:to>
      <xdr:col>10</xdr:col>
      <xdr:colOff>409174</xdr:colOff>
      <xdr:row>2</xdr:row>
      <xdr:rowOff>165598</xdr:rowOff>
    </xdr:to>
    <xdr:sp macro="" textlink="">
      <xdr:nvSpPr>
        <xdr:cNvPr id="10" name="テキスト ボックス 9">
          <a:extLst>
            <a:ext uri="{FF2B5EF4-FFF2-40B4-BE49-F238E27FC236}">
              <a16:creationId xmlns:a16="http://schemas.microsoft.com/office/drawing/2014/main" id="{00000000-0008-0000-0600-000014000000}"/>
            </a:ext>
          </a:extLst>
        </xdr:cNvPr>
        <xdr:cNvSpPr txBox="1"/>
      </xdr:nvSpPr>
      <xdr:spPr>
        <a:xfrm>
          <a:off x="243417" y="455083"/>
          <a:ext cx="7140174" cy="282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（３）業態別オートオークション出品台数（暦年）　</a:t>
          </a:r>
          <a:r>
            <a:rPr kumimoji="1" lang="en-US" altLang="ja-JP" sz="900" b="0">
              <a:latin typeface="+mj-lt"/>
              <a:ea typeface="メイリオ" panose="020B0604030504040204" pitchFamily="50" charset="-128"/>
            </a:rPr>
            <a:t>Market Share by Auction Site Category (Calendar Year)</a:t>
          </a:r>
          <a:endParaRPr kumimoji="1" lang="ja-JP" altLang="en-US" sz="1000" b="0">
            <a:latin typeface="+mj-lt"/>
            <a:ea typeface="メイリオ" panose="020B0604030504040204" pitchFamily="50" charset="-128"/>
          </a:endParaRPr>
        </a:p>
      </xdr:txBody>
    </xdr:sp>
    <xdr:clientData/>
  </xdr:twoCellAnchor>
  <xdr:twoCellAnchor editAs="absolute">
    <xdr:from>
      <xdr:col>14</xdr:col>
      <xdr:colOff>105834</xdr:colOff>
      <xdr:row>1</xdr:row>
      <xdr:rowOff>182468</xdr:rowOff>
    </xdr:from>
    <xdr:to>
      <xdr:col>16</xdr:col>
      <xdr:colOff>17296</xdr:colOff>
      <xdr:row>2</xdr:row>
      <xdr:rowOff>201082</xdr:rowOff>
    </xdr:to>
    <xdr:sp macro="" textlink="">
      <xdr:nvSpPr>
        <xdr:cNvPr id="11" name="テキスト ボックス 10">
          <a:extLst>
            <a:ext uri="{FF2B5EF4-FFF2-40B4-BE49-F238E27FC236}">
              <a16:creationId xmlns:a16="http://schemas.microsoft.com/office/drawing/2014/main" id="{00000000-0008-0000-0600-000015000000}"/>
            </a:ext>
          </a:extLst>
        </xdr:cNvPr>
        <xdr:cNvSpPr txBox="1"/>
      </xdr:nvSpPr>
      <xdr:spPr>
        <a:xfrm>
          <a:off x="9069917" y="510551"/>
          <a:ext cx="906296" cy="262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700" b="1">
              <a:solidFill>
                <a:srgbClr val="BDC3C4"/>
              </a:solidFill>
              <a:latin typeface="メイリオ" panose="020B0604030504040204" pitchFamily="50" charset="-128"/>
              <a:ea typeface="メイリオ" panose="020B0604030504040204" pitchFamily="50" charset="-128"/>
            </a:rPr>
            <a:t>Ⅱ-1.</a:t>
          </a:r>
          <a:r>
            <a:rPr kumimoji="1" lang="ja-JP" altLang="en-US" sz="700" b="1">
              <a:solidFill>
                <a:srgbClr val="BDC3C4"/>
              </a:solidFill>
              <a:latin typeface="メイリオ" panose="020B0604030504040204" pitchFamily="50" charset="-128"/>
              <a:ea typeface="メイリオ" panose="020B0604030504040204" pitchFamily="50" charset="-128"/>
            </a:rPr>
            <a:t>業界データ</a:t>
          </a:r>
        </a:p>
      </xdr:txBody>
    </xdr:sp>
    <xdr:clientData/>
  </xdr:twoCellAnchor>
  <xdr:twoCellAnchor editAs="absolute">
    <xdr:from>
      <xdr:col>1</xdr:col>
      <xdr:colOff>167902</xdr:colOff>
      <xdr:row>17</xdr:row>
      <xdr:rowOff>126827</xdr:rowOff>
    </xdr:from>
    <xdr:to>
      <xdr:col>2</xdr:col>
      <xdr:colOff>448308</xdr:colOff>
      <xdr:row>18</xdr:row>
      <xdr:rowOff>54547</xdr:rowOff>
    </xdr:to>
    <xdr:sp macro="" textlink="">
      <xdr:nvSpPr>
        <xdr:cNvPr id="12" name="Text Box 46">
          <a:extLst>
            <a:ext uri="{FF2B5EF4-FFF2-40B4-BE49-F238E27FC236}">
              <a16:creationId xmlns:a16="http://schemas.microsoft.com/office/drawing/2014/main" id="{00000000-0008-0000-0600-000016000000}"/>
            </a:ext>
          </a:extLst>
        </xdr:cNvPr>
        <xdr:cNvSpPr txBox="1">
          <a:spLocks noChangeArrowheads="1"/>
        </xdr:cNvSpPr>
      </xdr:nvSpPr>
      <xdr:spPr bwMode="auto">
        <a:xfrm>
          <a:off x="506569" y="4269772"/>
          <a:ext cx="154088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600" b="0" i="0" u="none" strike="noStrike" baseline="0">
              <a:solidFill>
                <a:srgbClr val="000000"/>
              </a:solidFill>
              <a:latin typeface="メイリオ" panose="020B0604030504040204" pitchFamily="50" charset="-128"/>
              <a:ea typeface="メイリオ" panose="020B0604030504040204" pitchFamily="50" charset="-128"/>
            </a:rPr>
            <a:t>千台</a:t>
          </a:r>
          <a:r>
            <a:rPr lang="ja-JP" altLang="en-US" sz="600" b="0" i="0" u="none" strike="noStrike" baseline="0">
              <a:solidFill>
                <a:srgbClr val="000000"/>
              </a:solidFill>
              <a:latin typeface="メイリオ" panose="020B0604030504040204" pitchFamily="50" charset="-128"/>
              <a:ea typeface="メイリオ" panose="020B0604030504040204" pitchFamily="50" charset="-128"/>
              <a:cs typeface="Calibri" panose="020F0502020204030204" pitchFamily="34" charset="0"/>
            </a:rPr>
            <a:t>　</a:t>
          </a:r>
          <a:r>
            <a:rPr lang="en-US" altLang="ja-JP" sz="600" b="0" i="0" u="none" strike="noStrike" baseline="0">
              <a:solidFill>
                <a:srgbClr val="000000"/>
              </a:solidFill>
              <a:latin typeface="+mj-lt"/>
              <a:ea typeface="メイリオ" panose="020B0604030504040204" pitchFamily="50" charset="-128"/>
              <a:cs typeface="Calibri" panose="020F0502020204030204" pitchFamily="34" charset="0"/>
            </a:rPr>
            <a:t>Thousand Vehicles</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editAs="absolute">
    <xdr:from>
      <xdr:col>1</xdr:col>
      <xdr:colOff>176804</xdr:colOff>
      <xdr:row>16</xdr:row>
      <xdr:rowOff>100420</xdr:rowOff>
    </xdr:from>
    <xdr:to>
      <xdr:col>7</xdr:col>
      <xdr:colOff>95349</xdr:colOff>
      <xdr:row>17</xdr:row>
      <xdr:rowOff>164312</xdr:rowOff>
    </xdr:to>
    <xdr:sp macro="" textlink="">
      <xdr:nvSpPr>
        <xdr:cNvPr id="13" name="Text Box 46">
          <a:extLst>
            <a:ext uri="{FF2B5EF4-FFF2-40B4-BE49-F238E27FC236}">
              <a16:creationId xmlns:a16="http://schemas.microsoft.com/office/drawing/2014/main" id="{00000000-0008-0000-0600-000018000000}"/>
            </a:ext>
          </a:extLst>
        </xdr:cNvPr>
        <xdr:cNvSpPr txBox="1">
          <a:spLocks noChangeArrowheads="1"/>
        </xdr:cNvSpPr>
      </xdr:nvSpPr>
      <xdr:spPr bwMode="auto">
        <a:xfrm>
          <a:off x="515471" y="4036679"/>
          <a:ext cx="5048250" cy="2752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ja-JP" altLang="en-US" sz="700" b="1" i="0" u="none" strike="noStrike" baseline="0">
              <a:solidFill>
                <a:srgbClr val="000000"/>
              </a:solidFill>
              <a:latin typeface="メイリオ" panose="020B0604030504040204" pitchFamily="50" charset="-128"/>
              <a:ea typeface="メイリオ" panose="020B0604030504040204" pitchFamily="50" charset="-128"/>
            </a:rPr>
            <a:t>業態別オートオークション出品台数（暦年） </a:t>
          </a:r>
          <a:r>
            <a:rPr lang="ja-JP" altLang="en-US" sz="600" b="0" i="0" u="none" strike="noStrike" baseline="0">
              <a:solidFill>
                <a:srgbClr val="000000"/>
              </a:solidFill>
              <a:latin typeface="+mj-lt"/>
              <a:ea typeface="メイリオ" panose="020B0604030504040204" pitchFamily="50" charset="-128"/>
            </a:rPr>
            <a:t>　</a:t>
          </a:r>
          <a:r>
            <a:rPr lang="en-US" altLang="ja-JP" sz="600" b="0" i="0" u="none" strike="noStrike" baseline="0">
              <a:solidFill>
                <a:srgbClr val="000000"/>
              </a:solidFill>
              <a:latin typeface="+mj-lt"/>
              <a:ea typeface="メイリオ" panose="020B0604030504040204" pitchFamily="50" charset="-128"/>
            </a:rPr>
            <a:t>Market Share by Auction Site Category (Calendar Year)</a:t>
          </a:r>
        </a:p>
      </xdr:txBody>
    </xdr:sp>
    <xdr:clientData/>
  </xdr:twoCellAnchor>
  <mc:AlternateContent xmlns:mc="http://schemas.openxmlformats.org/markup-compatibility/2006">
    <mc:Choice xmlns:a14="http://schemas.microsoft.com/office/drawing/2010/main" Requires="a14">
      <xdr:twoCellAnchor>
        <xdr:from>
          <xdr:col>15</xdr:col>
          <xdr:colOff>47625</xdr:colOff>
          <xdr:row>41</xdr:row>
          <xdr:rowOff>9525</xdr:rowOff>
        </xdr:from>
        <xdr:to>
          <xdr:col>16</xdr:col>
          <xdr:colOff>428625</xdr:colOff>
          <xdr:row>42</xdr:row>
          <xdr:rowOff>9525</xdr:rowOff>
        </xdr:to>
        <xdr:sp macro="" textlink="">
          <xdr:nvSpPr>
            <xdr:cNvPr id="1584129" name="Button 1" hidden="1">
              <a:extLst>
                <a:ext uri="{63B3BB69-23CF-44E3-9099-C40C66FF867C}">
                  <a14:compatExt spid="_x0000_s158412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ゴシック"/>
                  <a:ea typeface="ＭＳ ゴシック"/>
                </a:rPr>
                <a:t>担当印</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19050</xdr:colOff>
          <xdr:row>40</xdr:row>
          <xdr:rowOff>161925</xdr:rowOff>
        </xdr:from>
        <xdr:to>
          <xdr:col>15</xdr:col>
          <xdr:colOff>9525</xdr:colOff>
          <xdr:row>42</xdr:row>
          <xdr:rowOff>9525</xdr:rowOff>
        </xdr:to>
        <xdr:sp macro="" textlink="">
          <xdr:nvSpPr>
            <xdr:cNvPr id="1584130" name="Button 2" hidden="1">
              <a:extLst>
                <a:ext uri="{63B3BB69-23CF-44E3-9099-C40C66FF867C}">
                  <a14:compatExt spid="_x0000_s158413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ゴシック"/>
                  <a:ea typeface="ＭＳ ゴシック"/>
                </a:rPr>
                <a:t>承認印</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9525</xdr:colOff>
          <xdr:row>40</xdr:row>
          <xdr:rowOff>161925</xdr:rowOff>
        </xdr:from>
        <xdr:to>
          <xdr:col>12</xdr:col>
          <xdr:colOff>428625</xdr:colOff>
          <xdr:row>42</xdr:row>
          <xdr:rowOff>9525</xdr:rowOff>
        </xdr:to>
        <xdr:sp macro="" textlink="">
          <xdr:nvSpPr>
            <xdr:cNvPr id="1584131" name="Button 3" hidden="1">
              <a:extLst>
                <a:ext uri="{63B3BB69-23CF-44E3-9099-C40C66FF867C}">
                  <a14:compatExt spid="_x0000_s158413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ゴシック"/>
                  <a:ea typeface="ＭＳ ゴシック"/>
                </a:rPr>
                <a:t>確認印</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323850</xdr:colOff>
          <xdr:row>37</xdr:row>
          <xdr:rowOff>123825</xdr:rowOff>
        </xdr:from>
        <xdr:to>
          <xdr:col>17</xdr:col>
          <xdr:colOff>304800</xdr:colOff>
          <xdr:row>38</xdr:row>
          <xdr:rowOff>133350</xdr:rowOff>
        </xdr:to>
        <xdr:sp macro="" textlink="">
          <xdr:nvSpPr>
            <xdr:cNvPr id="1584135" name="Button 7" hidden="1">
              <a:extLst>
                <a:ext uri="{63B3BB69-23CF-44E3-9099-C40C66FF867C}">
                  <a14:compatExt spid="_x0000_s158413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ゴシック"/>
                  <a:ea typeface="ＭＳ ゴシック"/>
                </a:rPr>
                <a:t>捺印一括削除</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editAs="absolute">
    <xdr:from>
      <xdr:col>24</xdr:col>
      <xdr:colOff>238125</xdr:colOff>
      <xdr:row>3</xdr:row>
      <xdr:rowOff>0</xdr:rowOff>
    </xdr:from>
    <xdr:to>
      <xdr:col>24</xdr:col>
      <xdr:colOff>238125</xdr:colOff>
      <xdr:row>3</xdr:row>
      <xdr:rowOff>0</xdr:rowOff>
    </xdr:to>
    <xdr:sp macro="" textlink="">
      <xdr:nvSpPr>
        <xdr:cNvPr id="1438727" name="AutoShape 7">
          <a:extLst>
            <a:ext uri="{FF2B5EF4-FFF2-40B4-BE49-F238E27FC236}">
              <a16:creationId xmlns:a16="http://schemas.microsoft.com/office/drawing/2014/main" id="{00000000-0008-0000-0700-000007F41500}"/>
            </a:ext>
          </a:extLst>
        </xdr:cNvPr>
        <xdr:cNvSpPr>
          <a:spLocks/>
        </xdr:cNvSpPr>
      </xdr:nvSpPr>
      <xdr:spPr bwMode="auto">
        <a:xfrm>
          <a:off x="11277600" y="466725"/>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24</xdr:col>
      <xdr:colOff>238125</xdr:colOff>
      <xdr:row>3</xdr:row>
      <xdr:rowOff>0</xdr:rowOff>
    </xdr:from>
    <xdr:to>
      <xdr:col>24</xdr:col>
      <xdr:colOff>238125</xdr:colOff>
      <xdr:row>3</xdr:row>
      <xdr:rowOff>0</xdr:rowOff>
    </xdr:to>
    <xdr:sp macro="" textlink="">
      <xdr:nvSpPr>
        <xdr:cNvPr id="1438728" name="Line 8">
          <a:extLst>
            <a:ext uri="{FF2B5EF4-FFF2-40B4-BE49-F238E27FC236}">
              <a16:creationId xmlns:a16="http://schemas.microsoft.com/office/drawing/2014/main" id="{00000000-0008-0000-0700-000008F41500}"/>
            </a:ext>
          </a:extLst>
        </xdr:cNvPr>
        <xdr:cNvSpPr>
          <a:spLocks noChangeShapeType="1"/>
        </xdr:cNvSpPr>
      </xdr:nvSpPr>
      <xdr:spPr bwMode="auto">
        <a:xfrm flipV="1">
          <a:off x="11277600" y="466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24</xdr:col>
      <xdr:colOff>238125</xdr:colOff>
      <xdr:row>3</xdr:row>
      <xdr:rowOff>0</xdr:rowOff>
    </xdr:from>
    <xdr:to>
      <xdr:col>24</xdr:col>
      <xdr:colOff>238125</xdr:colOff>
      <xdr:row>3</xdr:row>
      <xdr:rowOff>0</xdr:rowOff>
    </xdr:to>
    <xdr:sp macro="" textlink="">
      <xdr:nvSpPr>
        <xdr:cNvPr id="1438729" name="AutoShape 9">
          <a:extLst>
            <a:ext uri="{FF2B5EF4-FFF2-40B4-BE49-F238E27FC236}">
              <a16:creationId xmlns:a16="http://schemas.microsoft.com/office/drawing/2014/main" id="{00000000-0008-0000-0700-000009F41500}"/>
            </a:ext>
          </a:extLst>
        </xdr:cNvPr>
        <xdr:cNvSpPr>
          <a:spLocks/>
        </xdr:cNvSpPr>
      </xdr:nvSpPr>
      <xdr:spPr bwMode="auto">
        <a:xfrm>
          <a:off x="11277600" y="466725"/>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24</xdr:col>
      <xdr:colOff>238125</xdr:colOff>
      <xdr:row>3</xdr:row>
      <xdr:rowOff>0</xdr:rowOff>
    </xdr:from>
    <xdr:to>
      <xdr:col>24</xdr:col>
      <xdr:colOff>238125</xdr:colOff>
      <xdr:row>3</xdr:row>
      <xdr:rowOff>0</xdr:rowOff>
    </xdr:to>
    <xdr:sp macro="" textlink="">
      <xdr:nvSpPr>
        <xdr:cNvPr id="1438730" name="Line 10">
          <a:extLst>
            <a:ext uri="{FF2B5EF4-FFF2-40B4-BE49-F238E27FC236}">
              <a16:creationId xmlns:a16="http://schemas.microsoft.com/office/drawing/2014/main" id="{00000000-0008-0000-0700-00000AF41500}"/>
            </a:ext>
          </a:extLst>
        </xdr:cNvPr>
        <xdr:cNvSpPr>
          <a:spLocks noChangeShapeType="1"/>
        </xdr:cNvSpPr>
      </xdr:nvSpPr>
      <xdr:spPr bwMode="auto">
        <a:xfrm flipV="1">
          <a:off x="11277600" y="466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24</xdr:col>
      <xdr:colOff>238125</xdr:colOff>
      <xdr:row>3</xdr:row>
      <xdr:rowOff>0</xdr:rowOff>
    </xdr:from>
    <xdr:to>
      <xdr:col>24</xdr:col>
      <xdr:colOff>238125</xdr:colOff>
      <xdr:row>3</xdr:row>
      <xdr:rowOff>0</xdr:rowOff>
    </xdr:to>
    <xdr:sp macro="" textlink="">
      <xdr:nvSpPr>
        <xdr:cNvPr id="1438731" name="Line 11">
          <a:extLst>
            <a:ext uri="{FF2B5EF4-FFF2-40B4-BE49-F238E27FC236}">
              <a16:creationId xmlns:a16="http://schemas.microsoft.com/office/drawing/2014/main" id="{00000000-0008-0000-0700-00000BF41500}"/>
            </a:ext>
          </a:extLst>
        </xdr:cNvPr>
        <xdr:cNvSpPr>
          <a:spLocks noChangeShapeType="1"/>
        </xdr:cNvSpPr>
      </xdr:nvSpPr>
      <xdr:spPr bwMode="auto">
        <a:xfrm flipV="1">
          <a:off x="11277600" y="466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24</xdr:col>
      <xdr:colOff>238125</xdr:colOff>
      <xdr:row>3</xdr:row>
      <xdr:rowOff>0</xdr:rowOff>
    </xdr:from>
    <xdr:to>
      <xdr:col>24</xdr:col>
      <xdr:colOff>238125</xdr:colOff>
      <xdr:row>3</xdr:row>
      <xdr:rowOff>0</xdr:rowOff>
    </xdr:to>
    <xdr:sp macro="" textlink="">
      <xdr:nvSpPr>
        <xdr:cNvPr id="1438733" name="AutoShape 14">
          <a:extLst>
            <a:ext uri="{FF2B5EF4-FFF2-40B4-BE49-F238E27FC236}">
              <a16:creationId xmlns:a16="http://schemas.microsoft.com/office/drawing/2014/main" id="{00000000-0008-0000-0700-00000DF41500}"/>
            </a:ext>
          </a:extLst>
        </xdr:cNvPr>
        <xdr:cNvSpPr>
          <a:spLocks/>
        </xdr:cNvSpPr>
      </xdr:nvSpPr>
      <xdr:spPr bwMode="auto">
        <a:xfrm>
          <a:off x="11277600" y="466725"/>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17</xdr:col>
      <xdr:colOff>176137</xdr:colOff>
      <xdr:row>17</xdr:row>
      <xdr:rowOff>118984</xdr:rowOff>
    </xdr:from>
    <xdr:to>
      <xdr:col>26</xdr:col>
      <xdr:colOff>430875</xdr:colOff>
      <xdr:row>96</xdr:row>
      <xdr:rowOff>95814</xdr:rowOff>
    </xdr:to>
    <xdr:graphicFrame macro="">
      <xdr:nvGraphicFramePr>
        <xdr:cNvPr id="1438735" name="グラフ 17">
          <a:extLst>
            <a:ext uri="{FF2B5EF4-FFF2-40B4-BE49-F238E27FC236}">
              <a16:creationId xmlns:a16="http://schemas.microsoft.com/office/drawing/2014/main" id="{00000000-0008-0000-0700-00000FF41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514733</xdr:colOff>
      <xdr:row>23</xdr:row>
      <xdr:rowOff>68936</xdr:rowOff>
    </xdr:from>
    <xdr:to>
      <xdr:col>18</xdr:col>
      <xdr:colOff>91516</xdr:colOff>
      <xdr:row>96</xdr:row>
      <xdr:rowOff>125106</xdr:rowOff>
    </xdr:to>
    <xdr:graphicFrame macro="">
      <xdr:nvGraphicFramePr>
        <xdr:cNvPr id="1438752" name="グラフ 34">
          <a:extLst>
            <a:ext uri="{FF2B5EF4-FFF2-40B4-BE49-F238E27FC236}">
              <a16:creationId xmlns:a16="http://schemas.microsoft.com/office/drawing/2014/main" id="{00000000-0008-0000-0700-000020F41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16</xdr:col>
      <xdr:colOff>291354</xdr:colOff>
      <xdr:row>33</xdr:row>
      <xdr:rowOff>116564</xdr:rowOff>
    </xdr:from>
    <xdr:to>
      <xdr:col>19</xdr:col>
      <xdr:colOff>3794</xdr:colOff>
      <xdr:row>34</xdr:row>
      <xdr:rowOff>182768</xdr:rowOff>
    </xdr:to>
    <xdr:sp macro="" textlink="">
      <xdr:nvSpPr>
        <xdr:cNvPr id="870436" name="Text Box 36">
          <a:extLst>
            <a:ext uri="{FF2B5EF4-FFF2-40B4-BE49-F238E27FC236}">
              <a16:creationId xmlns:a16="http://schemas.microsoft.com/office/drawing/2014/main" id="{00000000-0008-0000-0700-000024480D00}"/>
            </a:ext>
          </a:extLst>
        </xdr:cNvPr>
        <xdr:cNvSpPr txBox="1">
          <a:spLocks noChangeArrowheads="1"/>
        </xdr:cNvSpPr>
      </xdr:nvSpPr>
      <xdr:spPr bwMode="auto">
        <a:xfrm>
          <a:off x="8415619" y="8050329"/>
          <a:ext cx="1057146" cy="290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600" b="0" i="0" u="none" strike="noStrike" baseline="0">
              <a:solidFill>
                <a:srgbClr val="000000"/>
              </a:solidFill>
              <a:latin typeface="メイリオ" panose="020B0604030504040204" pitchFamily="50" charset="-128"/>
              <a:ea typeface="メイリオ" panose="020B0604030504040204" pitchFamily="50" charset="-128"/>
            </a:rPr>
            <a:t>暦年　</a:t>
          </a:r>
          <a:r>
            <a:rPr lang="en-US" altLang="ja-JP" sz="600" b="0" i="0" u="none" strike="noStrike" baseline="0">
              <a:solidFill>
                <a:srgbClr val="000000"/>
              </a:solidFill>
              <a:latin typeface="+mj-lt"/>
              <a:ea typeface="メイリオ" panose="020B0604030504040204" pitchFamily="50" charset="-128"/>
            </a:rPr>
            <a:t>CY</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editAs="absolute">
    <xdr:from>
      <xdr:col>0</xdr:col>
      <xdr:colOff>661147</xdr:colOff>
      <xdr:row>1</xdr:row>
      <xdr:rowOff>52828</xdr:rowOff>
    </xdr:from>
    <xdr:to>
      <xdr:col>22</xdr:col>
      <xdr:colOff>89648</xdr:colOff>
      <xdr:row>3</xdr:row>
      <xdr:rowOff>2881</xdr:rowOff>
    </xdr:to>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661147" y="781210"/>
          <a:ext cx="10242177" cy="3489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（４）オートオークション業界グループ別出品台数シェア（暦年）　</a:t>
          </a:r>
          <a:r>
            <a:rPr kumimoji="1" lang="en-US" altLang="ja-JP" sz="1100" b="0">
              <a:latin typeface="+mj-lt"/>
              <a:ea typeface="メイリオ" panose="020B0604030504040204" pitchFamily="50" charset="-128"/>
            </a:rPr>
            <a:t>Market Share by Auto Auction Industry Group (Calendar Year)</a:t>
          </a:r>
          <a:endParaRPr kumimoji="1" lang="ja-JP" altLang="en-US" sz="1200" b="0">
            <a:latin typeface="+mj-lt"/>
            <a:ea typeface="メイリオ" panose="020B0604030504040204" pitchFamily="50" charset="-128"/>
          </a:endParaRPr>
        </a:p>
      </xdr:txBody>
    </xdr:sp>
    <xdr:clientData/>
  </xdr:twoCellAnchor>
  <xdr:twoCellAnchor editAs="absolute">
    <xdr:from>
      <xdr:col>24</xdr:col>
      <xdr:colOff>171261</xdr:colOff>
      <xdr:row>1</xdr:row>
      <xdr:rowOff>104789</xdr:rowOff>
    </xdr:from>
    <xdr:to>
      <xdr:col>27</xdr:col>
      <xdr:colOff>70328</xdr:colOff>
      <xdr:row>3</xdr:row>
      <xdr:rowOff>4669</xdr:rowOff>
    </xdr:to>
    <xdr:sp macro="" textlink="">
      <xdr:nvSpPr>
        <xdr:cNvPr id="28" name="テキスト ボックス 27">
          <a:extLst>
            <a:ext uri="{FF2B5EF4-FFF2-40B4-BE49-F238E27FC236}">
              <a16:creationId xmlns:a16="http://schemas.microsoft.com/office/drawing/2014/main" id="{00000000-0008-0000-0700-00001C000000}"/>
            </a:ext>
          </a:extLst>
        </xdr:cNvPr>
        <xdr:cNvSpPr txBox="1"/>
      </xdr:nvSpPr>
      <xdr:spPr>
        <a:xfrm>
          <a:off x="11881408" y="833171"/>
          <a:ext cx="1243773" cy="303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b="1">
              <a:solidFill>
                <a:srgbClr val="BDC3C4"/>
              </a:solidFill>
              <a:latin typeface="メイリオ" panose="020B0604030504040204" pitchFamily="50" charset="-128"/>
              <a:ea typeface="メイリオ" panose="020B0604030504040204" pitchFamily="50" charset="-128"/>
            </a:rPr>
            <a:t>Ⅱ-1.</a:t>
          </a:r>
          <a:r>
            <a:rPr kumimoji="1" lang="ja-JP" altLang="en-US" sz="1000" b="1">
              <a:solidFill>
                <a:srgbClr val="BDC3C4"/>
              </a:solidFill>
              <a:latin typeface="メイリオ" panose="020B0604030504040204" pitchFamily="50" charset="-128"/>
              <a:ea typeface="メイリオ" panose="020B0604030504040204" pitchFamily="50" charset="-128"/>
            </a:rPr>
            <a:t>業界データ</a:t>
          </a:r>
        </a:p>
      </xdr:txBody>
    </xdr:sp>
    <xdr:clientData/>
  </xdr:twoCellAnchor>
  <xdr:twoCellAnchor editAs="absolute">
    <xdr:from>
      <xdr:col>1</xdr:col>
      <xdr:colOff>51626</xdr:colOff>
      <xdr:row>23</xdr:row>
      <xdr:rowOff>44824</xdr:rowOff>
    </xdr:from>
    <xdr:to>
      <xdr:col>7</xdr:col>
      <xdr:colOff>186640</xdr:colOff>
      <xdr:row>24</xdr:row>
      <xdr:rowOff>186738</xdr:rowOff>
    </xdr:to>
    <xdr:sp macro="" textlink="">
      <xdr:nvSpPr>
        <xdr:cNvPr id="29" name="Text Box 46">
          <a:extLst>
            <a:ext uri="{FF2B5EF4-FFF2-40B4-BE49-F238E27FC236}">
              <a16:creationId xmlns:a16="http://schemas.microsoft.com/office/drawing/2014/main" id="{00000000-0008-0000-0700-00001D000000}"/>
            </a:ext>
          </a:extLst>
        </xdr:cNvPr>
        <xdr:cNvSpPr txBox="1">
          <a:spLocks noChangeArrowheads="1"/>
        </xdr:cNvSpPr>
      </xdr:nvSpPr>
      <xdr:spPr bwMode="auto">
        <a:xfrm>
          <a:off x="813626" y="5737412"/>
          <a:ext cx="3463161" cy="366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en-US" altLang="ja-JP" sz="1000" b="1" i="0" u="none" strike="noStrike" baseline="0">
              <a:solidFill>
                <a:srgbClr val="000000"/>
              </a:solidFill>
              <a:latin typeface="メイリオ" panose="020B0604030504040204" pitchFamily="50" charset="-128"/>
              <a:ea typeface="メイリオ" panose="020B0604030504040204" pitchFamily="50" charset="-128"/>
            </a:rPr>
            <a:t>USS</a:t>
          </a:r>
          <a:r>
            <a:rPr lang="ja-JP" altLang="en-US" sz="1000" b="1" i="0" u="none" strike="noStrike" baseline="0">
              <a:solidFill>
                <a:srgbClr val="000000"/>
              </a:solidFill>
              <a:latin typeface="メイリオ" panose="020B0604030504040204" pitchFamily="50" charset="-128"/>
              <a:ea typeface="メイリオ" panose="020B0604030504040204" pitchFamily="50" charset="-128"/>
            </a:rPr>
            <a:t>シェア推移　</a:t>
          </a:r>
          <a:r>
            <a:rPr lang="en-US" altLang="ja-JP" sz="900" b="0" i="0" u="none" strike="noStrike" baseline="0">
              <a:solidFill>
                <a:srgbClr val="000000"/>
              </a:solidFill>
              <a:latin typeface="+mj-lt"/>
              <a:ea typeface="メイリオ" panose="020B0604030504040204" pitchFamily="50" charset="-128"/>
            </a:rPr>
            <a:t>USS Share</a:t>
          </a:r>
        </a:p>
      </xdr:txBody>
    </xdr:sp>
    <xdr:clientData/>
  </xdr:twoCellAnchor>
  <xdr:twoCellAnchor editAs="absolute">
    <xdr:from>
      <xdr:col>1</xdr:col>
      <xdr:colOff>63357</xdr:colOff>
      <xdr:row>24</xdr:row>
      <xdr:rowOff>75544</xdr:rowOff>
    </xdr:from>
    <xdr:to>
      <xdr:col>1</xdr:col>
      <xdr:colOff>312472</xdr:colOff>
      <xdr:row>25</xdr:row>
      <xdr:rowOff>82871</xdr:rowOff>
    </xdr:to>
    <xdr:sp macro="" textlink="">
      <xdr:nvSpPr>
        <xdr:cNvPr id="30" name="Text Box 46">
          <a:extLst>
            <a:ext uri="{FF2B5EF4-FFF2-40B4-BE49-F238E27FC236}">
              <a16:creationId xmlns:a16="http://schemas.microsoft.com/office/drawing/2014/main" id="{00000000-0008-0000-0700-00001E000000}"/>
            </a:ext>
          </a:extLst>
        </xdr:cNvPr>
        <xdr:cNvSpPr txBox="1">
          <a:spLocks noChangeArrowheads="1"/>
        </xdr:cNvSpPr>
      </xdr:nvSpPr>
      <xdr:spPr bwMode="auto">
        <a:xfrm>
          <a:off x="825357" y="5992250"/>
          <a:ext cx="249115" cy="2314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algn="l" rtl="0">
            <a:defRPr sz="1000"/>
          </a:pP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r>
            <a:rPr lang="ja-JP" altLang="en-US" sz="600" b="0" i="0" u="none" strike="noStrike" baseline="0">
              <a:solidFill>
                <a:srgbClr val="000000"/>
              </a:solidFill>
              <a:latin typeface="メイリオ" panose="020B0604030504040204" pitchFamily="50" charset="-128"/>
              <a:ea typeface="メイリオ" panose="020B0604030504040204" pitchFamily="50" charset="-128"/>
            </a:rPr>
            <a:t>％</a:t>
          </a:r>
          <a:r>
            <a:rPr lang="en-US" altLang="ja-JP" sz="600" b="0" i="0" u="none" strike="noStrike" baseline="0">
              <a:solidFill>
                <a:srgbClr val="000000"/>
              </a:solidFill>
              <a:latin typeface="メイリオ" panose="020B0604030504040204" pitchFamily="50" charset="-128"/>
              <a:ea typeface="メイリオ" panose="020B0604030504040204" pitchFamily="50" charset="-128"/>
            </a:rPr>
            <a:t>)</a:t>
          </a:r>
        </a:p>
      </xdr:txBody>
    </xdr:sp>
    <xdr:clientData/>
  </xdr:twoCellAnchor>
  <xdr:twoCellAnchor editAs="absolute">
    <xdr:from>
      <xdr:col>17</xdr:col>
      <xdr:colOff>422726</xdr:colOff>
      <xdr:row>21</xdr:row>
      <xdr:rowOff>0</xdr:rowOff>
    </xdr:from>
    <xdr:to>
      <xdr:col>27</xdr:col>
      <xdr:colOff>38099</xdr:colOff>
      <xdr:row>25</xdr:row>
      <xdr:rowOff>78440</xdr:rowOff>
    </xdr:to>
    <xdr:sp macro="" textlink="">
      <xdr:nvSpPr>
        <xdr:cNvPr id="31" name="Text Box 46">
          <a:extLst>
            <a:ext uri="{FF2B5EF4-FFF2-40B4-BE49-F238E27FC236}">
              <a16:creationId xmlns:a16="http://schemas.microsoft.com/office/drawing/2014/main" id="{00000000-0008-0000-0700-00001F000000}"/>
            </a:ext>
          </a:extLst>
        </xdr:cNvPr>
        <xdr:cNvSpPr txBox="1">
          <a:spLocks noChangeArrowheads="1"/>
        </xdr:cNvSpPr>
      </xdr:nvSpPr>
      <xdr:spPr bwMode="auto">
        <a:xfrm>
          <a:off x="8985701" y="5700992"/>
          <a:ext cx="4092123" cy="5020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US" altLang="ja-JP" sz="1000" b="1" i="0" u="none" strike="noStrike" baseline="0">
              <a:solidFill>
                <a:srgbClr val="000000"/>
              </a:solidFill>
              <a:latin typeface="メイリオ" panose="020B0604030504040204" pitchFamily="50" charset="-128"/>
              <a:ea typeface="メイリオ" panose="020B0604030504040204" pitchFamily="50" charset="-128"/>
            </a:rPr>
            <a:t>2025</a:t>
          </a:r>
          <a:r>
            <a:rPr lang="ja-JP" altLang="en-US" sz="1000" b="1" i="0" u="none" strike="noStrike" baseline="0">
              <a:solidFill>
                <a:srgbClr val="000000"/>
              </a:solidFill>
              <a:latin typeface="メイリオ" panose="020B0604030504040204" pitchFamily="50" charset="-128"/>
              <a:ea typeface="メイリオ" panose="020B0604030504040204" pitchFamily="50" charset="-128"/>
            </a:rPr>
            <a:t>年業界グループ別出品台数シェア　</a:t>
          </a:r>
          <a:r>
            <a:rPr lang="en-US" altLang="ja-JP" sz="1000" b="0" i="0" baseline="0">
              <a:effectLst/>
              <a:latin typeface="+mn-lt"/>
              <a:ea typeface="+mn-ea"/>
              <a:cs typeface="+mn-cs"/>
            </a:rPr>
            <a:t>Market Share in 2025</a:t>
          </a:r>
          <a:endParaRPr lang="ja-JP" altLang="ja-JP">
            <a:effectLst/>
          </a:endParaRPr>
        </a:p>
        <a:p>
          <a:pPr algn="ctr" rtl="0">
            <a:defRPr sz="1000"/>
          </a:pPr>
          <a:r>
            <a:rPr lang="ja-JP" altLang="en-US" sz="1000" b="1" i="0" u="none" strike="noStrike" baseline="0">
              <a:solidFill>
                <a:srgbClr val="000000"/>
              </a:solidFill>
              <a:latin typeface="メイリオ" panose="020B0604030504040204" pitchFamily="50" charset="-128"/>
              <a:ea typeface="メイリオ" panose="020B0604030504040204" pitchFamily="50" charset="-128"/>
            </a:rPr>
            <a:t>　　　　　　　　　　</a:t>
          </a:r>
          <a:endParaRPr lang="en-US" altLang="ja-JP" sz="1000" b="0" i="0" u="none" strike="noStrike" baseline="0">
            <a:solidFill>
              <a:srgbClr val="000000"/>
            </a:solidFill>
            <a:latin typeface="+mj-lt"/>
            <a:ea typeface="メイリオ" panose="020B0604030504040204" pitchFamily="50" charset="-128"/>
          </a:endParaRPr>
        </a:p>
      </xdr:txBody>
    </xdr:sp>
    <xdr:clientData/>
  </xdr:twoCellAnchor>
  <xdr:twoCellAnchor editAs="absolute">
    <xdr:from>
      <xdr:col>23</xdr:col>
      <xdr:colOff>123877</xdr:colOff>
      <xdr:row>26</xdr:row>
      <xdr:rowOff>90972</xdr:rowOff>
    </xdr:from>
    <xdr:to>
      <xdr:col>27</xdr:col>
      <xdr:colOff>52</xdr:colOff>
      <xdr:row>31</xdr:row>
      <xdr:rowOff>203540</xdr:rowOff>
    </xdr:to>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10874467" y="6024203"/>
          <a:ext cx="1595377" cy="1176836"/>
          <a:chOff x="4467225" y="6029325"/>
          <a:chExt cx="2514600" cy="1162050"/>
        </a:xfrm>
      </xdr:grpSpPr>
      <xdr:grpSp>
        <xdr:nvGrpSpPr>
          <xdr:cNvPr id="42" name="グループ化 41">
            <a:extLst>
              <a:ext uri="{FF2B5EF4-FFF2-40B4-BE49-F238E27FC236}">
                <a16:creationId xmlns:a16="http://schemas.microsoft.com/office/drawing/2014/main" id="{00000000-0008-0000-0700-00002A000000}"/>
              </a:ext>
            </a:extLst>
          </xdr:cNvPr>
          <xdr:cNvGrpSpPr/>
        </xdr:nvGrpSpPr>
        <xdr:grpSpPr>
          <a:xfrm>
            <a:off x="4467225" y="6686550"/>
            <a:ext cx="2514600" cy="190500"/>
            <a:chOff x="4467225" y="6029325"/>
            <a:chExt cx="2514600" cy="190500"/>
          </a:xfrm>
        </xdr:grpSpPr>
        <xdr:sp macro="" textlink="">
          <xdr:nvSpPr>
            <xdr:cNvPr id="43" name="フローチャート: 処理 42">
              <a:extLst>
                <a:ext uri="{FF2B5EF4-FFF2-40B4-BE49-F238E27FC236}">
                  <a16:creationId xmlns:a16="http://schemas.microsoft.com/office/drawing/2014/main" id="{00000000-0008-0000-0700-00002B000000}"/>
                </a:ext>
              </a:extLst>
            </xdr:cNvPr>
            <xdr:cNvSpPr/>
          </xdr:nvSpPr>
          <xdr:spPr bwMode="auto">
            <a:xfrm>
              <a:off x="4467225" y="6076950"/>
              <a:ext cx="85725" cy="85725"/>
            </a:xfrm>
            <a:prstGeom prst="flowChartProcess">
              <a:avLst/>
            </a:prstGeom>
            <a:solidFill>
              <a:schemeClr val="accent5">
                <a:lumMod val="40000"/>
                <a:lumOff val="6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4533900" y="6029325"/>
              <a:ext cx="24479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700" baseline="0">
                  <a:latin typeface="+mn-lt"/>
                  <a:ea typeface="メイリオ" panose="020B0604030504040204" pitchFamily="50" charset="-128"/>
                </a:rPr>
                <a:t>JU</a:t>
              </a:r>
              <a:r>
                <a:rPr kumimoji="1" lang="ja-JP" altLang="en-US" sz="700" baseline="0">
                  <a:latin typeface="+mn-lt"/>
                  <a:ea typeface="メイリオ" panose="020B0604030504040204" pitchFamily="50" charset="-128"/>
                </a:rPr>
                <a:t>岐阜　</a:t>
              </a:r>
              <a:r>
                <a:rPr kumimoji="1" lang="en-US" altLang="ja-JP" sz="700" baseline="0">
                  <a:latin typeface="+mn-lt"/>
                  <a:ea typeface="メイリオ" panose="020B0604030504040204" pitchFamily="50" charset="-128"/>
                </a:rPr>
                <a:t>JU Gifu 3.2%</a:t>
              </a:r>
              <a:endParaRPr kumimoji="1" lang="en-US" altLang="ja-JP" sz="700">
                <a:latin typeface="+mn-lt"/>
                <a:ea typeface="メイリオ" panose="020B0604030504040204" pitchFamily="50" charset="-128"/>
              </a:endParaRPr>
            </a:p>
          </xdr:txBody>
        </xdr:sp>
      </xdr:grpSp>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4467225" y="6029325"/>
            <a:ext cx="2514600" cy="1162050"/>
            <a:chOff x="4467225" y="6029325"/>
            <a:chExt cx="2514600" cy="1162050"/>
          </a:xfrm>
        </xdr:grpSpPr>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4467225" y="6029325"/>
              <a:ext cx="2514600" cy="190500"/>
              <a:chOff x="4467225" y="6029325"/>
              <a:chExt cx="2514600" cy="190500"/>
            </a:xfrm>
          </xdr:grpSpPr>
          <xdr:sp macro="" textlink="">
            <xdr:nvSpPr>
              <xdr:cNvPr id="3" name="フローチャート: 処理 2">
                <a:extLst>
                  <a:ext uri="{FF2B5EF4-FFF2-40B4-BE49-F238E27FC236}">
                    <a16:creationId xmlns:a16="http://schemas.microsoft.com/office/drawing/2014/main" id="{00000000-0008-0000-0700-000003000000}"/>
                  </a:ext>
                </a:extLst>
              </xdr:cNvPr>
              <xdr:cNvSpPr/>
            </xdr:nvSpPr>
            <xdr:spPr bwMode="auto">
              <a:xfrm>
                <a:off x="4467225" y="6076950"/>
                <a:ext cx="85725" cy="85725"/>
              </a:xfrm>
              <a:prstGeom prst="flowChartProcess">
                <a:avLst/>
              </a:prstGeom>
              <a:solidFill>
                <a:srgbClr val="004098"/>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4533900" y="6029325"/>
                <a:ext cx="24479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700">
                    <a:latin typeface="+mn-lt"/>
                    <a:ea typeface="メイリオ" panose="020B0604030504040204" pitchFamily="50" charset="-128"/>
                  </a:rPr>
                  <a:t>USS 43.2%</a:t>
                </a:r>
              </a:p>
            </xdr:txBody>
          </xdr:sp>
        </xdr:grpSp>
        <xdr:grpSp>
          <xdr:nvGrpSpPr>
            <xdr:cNvPr id="33" name="グループ化 32">
              <a:extLst>
                <a:ext uri="{FF2B5EF4-FFF2-40B4-BE49-F238E27FC236}">
                  <a16:creationId xmlns:a16="http://schemas.microsoft.com/office/drawing/2014/main" id="{00000000-0008-0000-0700-000021000000}"/>
                </a:ext>
              </a:extLst>
            </xdr:cNvPr>
            <xdr:cNvGrpSpPr/>
          </xdr:nvGrpSpPr>
          <xdr:grpSpPr>
            <a:xfrm>
              <a:off x="4467225" y="6200775"/>
              <a:ext cx="2514600" cy="190500"/>
              <a:chOff x="4467225" y="6029325"/>
              <a:chExt cx="2514600" cy="190500"/>
            </a:xfrm>
          </xdr:grpSpPr>
          <xdr:sp macro="" textlink="">
            <xdr:nvSpPr>
              <xdr:cNvPr id="34" name="フローチャート: 処理 33">
                <a:extLst>
                  <a:ext uri="{FF2B5EF4-FFF2-40B4-BE49-F238E27FC236}">
                    <a16:creationId xmlns:a16="http://schemas.microsoft.com/office/drawing/2014/main" id="{00000000-0008-0000-0700-000022000000}"/>
                  </a:ext>
                </a:extLst>
              </xdr:cNvPr>
              <xdr:cNvSpPr/>
            </xdr:nvSpPr>
            <xdr:spPr bwMode="auto">
              <a:xfrm>
                <a:off x="4467225" y="6076950"/>
                <a:ext cx="85725" cy="85725"/>
              </a:xfrm>
              <a:prstGeom prst="flowChartProcess">
                <a:avLst/>
              </a:prstGeom>
              <a:solidFill>
                <a:srgbClr val="1DB1E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00000000-0008-0000-0700-000023000000}"/>
                  </a:ext>
                </a:extLst>
              </xdr:cNvPr>
              <xdr:cNvSpPr txBox="1"/>
            </xdr:nvSpPr>
            <xdr:spPr>
              <a:xfrm>
                <a:off x="4533900" y="6029325"/>
                <a:ext cx="24479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700">
                    <a:latin typeface="+mn-lt"/>
                    <a:ea typeface="メイリオ" panose="020B0604030504040204" pitchFamily="50" charset="-128"/>
                  </a:rPr>
                  <a:t>TAA</a:t>
                </a:r>
                <a:r>
                  <a:rPr kumimoji="1" lang="en-US" altLang="ja-JP" sz="700" baseline="0">
                    <a:latin typeface="+mn-lt"/>
                    <a:ea typeface="メイリオ" panose="020B0604030504040204" pitchFamily="50" charset="-128"/>
                  </a:rPr>
                  <a:t> 12.4%</a:t>
                </a:r>
              </a:p>
            </xdr:txBody>
          </xdr:sp>
        </xdr:grpSp>
        <xdr:grpSp>
          <xdr:nvGrpSpPr>
            <xdr:cNvPr id="36" name="グループ化 35">
              <a:extLst>
                <a:ext uri="{FF2B5EF4-FFF2-40B4-BE49-F238E27FC236}">
                  <a16:creationId xmlns:a16="http://schemas.microsoft.com/office/drawing/2014/main" id="{00000000-0008-0000-0700-000024000000}"/>
                </a:ext>
              </a:extLst>
            </xdr:cNvPr>
            <xdr:cNvGrpSpPr/>
          </xdr:nvGrpSpPr>
          <xdr:grpSpPr>
            <a:xfrm>
              <a:off x="4467225" y="6372225"/>
              <a:ext cx="2514600" cy="190500"/>
              <a:chOff x="4467225" y="6029325"/>
              <a:chExt cx="2514600" cy="190500"/>
            </a:xfrm>
          </xdr:grpSpPr>
          <xdr:sp macro="" textlink="">
            <xdr:nvSpPr>
              <xdr:cNvPr id="37" name="フローチャート: 処理 36">
                <a:extLst>
                  <a:ext uri="{FF2B5EF4-FFF2-40B4-BE49-F238E27FC236}">
                    <a16:creationId xmlns:a16="http://schemas.microsoft.com/office/drawing/2014/main" id="{00000000-0008-0000-0700-000025000000}"/>
                  </a:ext>
                </a:extLst>
              </xdr:cNvPr>
              <xdr:cNvSpPr/>
            </xdr:nvSpPr>
            <xdr:spPr bwMode="auto">
              <a:xfrm>
                <a:off x="4467225" y="6076950"/>
                <a:ext cx="85725" cy="85725"/>
              </a:xfrm>
              <a:prstGeom prst="flowChartProcess">
                <a:avLst/>
              </a:prstGeom>
              <a:solidFill>
                <a:srgbClr val="1A2232"/>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700-000026000000}"/>
                  </a:ext>
                </a:extLst>
              </xdr:cNvPr>
              <xdr:cNvSpPr txBox="1"/>
            </xdr:nvSpPr>
            <xdr:spPr>
              <a:xfrm>
                <a:off x="4533900" y="6029325"/>
                <a:ext cx="24479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700">
                    <a:latin typeface="+mn-lt"/>
                    <a:ea typeface="メイリオ" panose="020B0604030504040204" pitchFamily="50" charset="-128"/>
                  </a:rPr>
                  <a:t>CAA</a:t>
                </a:r>
                <a:r>
                  <a:rPr kumimoji="1" lang="ja-JP" altLang="en-US" sz="700">
                    <a:latin typeface="+mn-lt"/>
                    <a:ea typeface="メイリオ" panose="020B0604030504040204" pitchFamily="50" charset="-128"/>
                  </a:rPr>
                  <a:t> </a:t>
                </a:r>
                <a:r>
                  <a:rPr kumimoji="1" lang="en-US" altLang="ja-JP" sz="700">
                    <a:latin typeface="+mn-lt"/>
                    <a:ea typeface="メイリオ" panose="020B0604030504040204" pitchFamily="50" charset="-128"/>
                  </a:rPr>
                  <a:t>5.7</a:t>
                </a:r>
                <a:r>
                  <a:rPr kumimoji="1" lang="ja-JP" altLang="en-US" sz="700">
                    <a:latin typeface="+mn-lt"/>
                    <a:ea typeface="メイリオ" panose="020B0604030504040204" pitchFamily="50" charset="-128"/>
                  </a:rPr>
                  <a:t>％</a:t>
                </a:r>
                <a:endParaRPr kumimoji="1" lang="en-US" altLang="ja-JP" sz="700">
                  <a:latin typeface="+mn-lt"/>
                  <a:ea typeface="メイリオ" panose="020B0604030504040204" pitchFamily="50" charset="-128"/>
                </a:endParaRPr>
              </a:p>
            </xdr:txBody>
          </xdr:sp>
        </xdr:grpSp>
        <xdr:grpSp>
          <xdr:nvGrpSpPr>
            <xdr:cNvPr id="39" name="グループ化 38">
              <a:extLst>
                <a:ext uri="{FF2B5EF4-FFF2-40B4-BE49-F238E27FC236}">
                  <a16:creationId xmlns:a16="http://schemas.microsoft.com/office/drawing/2014/main" id="{00000000-0008-0000-0700-000027000000}"/>
                </a:ext>
              </a:extLst>
            </xdr:cNvPr>
            <xdr:cNvGrpSpPr/>
          </xdr:nvGrpSpPr>
          <xdr:grpSpPr>
            <a:xfrm>
              <a:off x="4467225" y="6534150"/>
              <a:ext cx="2514600" cy="190500"/>
              <a:chOff x="4467225" y="6029325"/>
              <a:chExt cx="2514600" cy="190500"/>
            </a:xfrm>
          </xdr:grpSpPr>
          <xdr:sp macro="" textlink="">
            <xdr:nvSpPr>
              <xdr:cNvPr id="40" name="フローチャート: 処理 39">
                <a:extLst>
                  <a:ext uri="{FF2B5EF4-FFF2-40B4-BE49-F238E27FC236}">
                    <a16:creationId xmlns:a16="http://schemas.microsoft.com/office/drawing/2014/main" id="{00000000-0008-0000-0700-000028000000}"/>
                  </a:ext>
                </a:extLst>
              </xdr:cNvPr>
              <xdr:cNvSpPr/>
            </xdr:nvSpPr>
            <xdr:spPr bwMode="auto">
              <a:xfrm>
                <a:off x="4467225" y="6076950"/>
                <a:ext cx="85725" cy="85725"/>
              </a:xfrm>
              <a:prstGeom prst="flowChartProcess">
                <a:avLst/>
              </a:prstGeom>
              <a:solidFill>
                <a:srgbClr val="9999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41" name="テキスト ボックス 40">
                <a:extLst>
                  <a:ext uri="{FF2B5EF4-FFF2-40B4-BE49-F238E27FC236}">
                    <a16:creationId xmlns:a16="http://schemas.microsoft.com/office/drawing/2014/main" id="{00000000-0008-0000-0700-000029000000}"/>
                  </a:ext>
                </a:extLst>
              </xdr:cNvPr>
              <xdr:cNvSpPr txBox="1"/>
            </xdr:nvSpPr>
            <xdr:spPr>
              <a:xfrm>
                <a:off x="4533900" y="6029325"/>
                <a:ext cx="24479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ja-JP" sz="700">
                    <a:solidFill>
                      <a:schemeClr val="dk1"/>
                    </a:solidFill>
                    <a:effectLst/>
                    <a:latin typeface="+mn-lt"/>
                    <a:ea typeface="+mn-ea"/>
                    <a:cs typeface="+mn-cs"/>
                  </a:rPr>
                  <a:t>アライ</a:t>
                </a:r>
                <a:r>
                  <a:rPr kumimoji="1" lang="en-US" altLang="ja-JP" sz="700">
                    <a:solidFill>
                      <a:schemeClr val="dk1"/>
                    </a:solidFill>
                    <a:effectLst/>
                    <a:latin typeface="+mn-lt"/>
                    <a:ea typeface="+mn-ea"/>
                    <a:cs typeface="+mn-cs"/>
                  </a:rPr>
                  <a:t>AA</a:t>
                </a:r>
                <a:r>
                  <a:rPr kumimoji="1" lang="ja-JP" altLang="ja-JP" sz="700" baseline="0">
                    <a:solidFill>
                      <a:schemeClr val="dk1"/>
                    </a:solidFill>
                    <a:effectLst/>
                    <a:latin typeface="+mn-lt"/>
                    <a:ea typeface="+mn-ea"/>
                    <a:cs typeface="+mn-cs"/>
                  </a:rPr>
                  <a:t>　</a:t>
                </a:r>
                <a:r>
                  <a:rPr kumimoji="1" lang="en-US" altLang="ja-JP" sz="700">
                    <a:solidFill>
                      <a:schemeClr val="dk1"/>
                    </a:solidFill>
                    <a:effectLst/>
                    <a:latin typeface="+mn-lt"/>
                    <a:ea typeface="+mn-ea"/>
                    <a:cs typeface="+mn-cs"/>
                  </a:rPr>
                  <a:t>Arai</a:t>
                </a:r>
                <a:r>
                  <a:rPr kumimoji="1" lang="ja-JP" altLang="ja-JP" sz="700" baseline="0">
                    <a:solidFill>
                      <a:schemeClr val="dk1"/>
                    </a:solidFill>
                    <a:effectLst/>
                    <a:latin typeface="+mn-lt"/>
                    <a:ea typeface="+mn-ea"/>
                    <a:cs typeface="+mn-cs"/>
                  </a:rPr>
                  <a:t> </a:t>
                </a:r>
                <a:r>
                  <a:rPr kumimoji="1" lang="en-US" altLang="ja-JP" sz="700" baseline="0">
                    <a:solidFill>
                      <a:schemeClr val="dk1"/>
                    </a:solidFill>
                    <a:effectLst/>
                    <a:latin typeface="+mn-lt"/>
                    <a:ea typeface="+mn-ea"/>
                    <a:cs typeface="+mn-cs"/>
                  </a:rPr>
                  <a:t>AA</a:t>
                </a:r>
                <a:r>
                  <a:rPr kumimoji="1" lang="ja-JP" altLang="en-US" sz="700">
                    <a:latin typeface="+mn-lt"/>
                    <a:ea typeface="メイリオ" panose="020B0604030504040204" pitchFamily="50" charset="-128"/>
                  </a:rPr>
                  <a:t> </a:t>
                </a:r>
                <a:r>
                  <a:rPr kumimoji="1" lang="en-US" altLang="ja-JP" sz="700">
                    <a:latin typeface="+mn-lt"/>
                    <a:ea typeface="メイリオ" panose="020B0604030504040204" pitchFamily="50" charset="-128"/>
                  </a:rPr>
                  <a:t>5.6</a:t>
                </a:r>
                <a:r>
                  <a:rPr kumimoji="1" lang="ja-JP" altLang="en-US" sz="700">
                    <a:latin typeface="+mn-lt"/>
                    <a:ea typeface="メイリオ" panose="020B0604030504040204" pitchFamily="50" charset="-128"/>
                  </a:rPr>
                  <a:t>％</a:t>
                </a:r>
                <a:endParaRPr kumimoji="1" lang="en-US" altLang="ja-JP" sz="700">
                  <a:latin typeface="+mn-lt"/>
                  <a:ea typeface="メイリオ" panose="020B0604030504040204" pitchFamily="50" charset="-128"/>
                </a:endParaRPr>
              </a:p>
            </xdr:txBody>
          </xdr:sp>
        </xdr:grpSp>
        <xdr:grpSp>
          <xdr:nvGrpSpPr>
            <xdr:cNvPr id="45" name="グループ化 44">
              <a:extLst>
                <a:ext uri="{FF2B5EF4-FFF2-40B4-BE49-F238E27FC236}">
                  <a16:creationId xmlns:a16="http://schemas.microsoft.com/office/drawing/2014/main" id="{00000000-0008-0000-0700-00002D000000}"/>
                </a:ext>
              </a:extLst>
            </xdr:cNvPr>
            <xdr:cNvGrpSpPr/>
          </xdr:nvGrpSpPr>
          <xdr:grpSpPr>
            <a:xfrm>
              <a:off x="4467225" y="6838950"/>
              <a:ext cx="2514600" cy="190500"/>
              <a:chOff x="4467225" y="6029325"/>
              <a:chExt cx="2514600" cy="190500"/>
            </a:xfrm>
          </xdr:grpSpPr>
          <xdr:sp macro="" textlink="">
            <xdr:nvSpPr>
              <xdr:cNvPr id="46" name="フローチャート: 処理 45">
                <a:extLst>
                  <a:ext uri="{FF2B5EF4-FFF2-40B4-BE49-F238E27FC236}">
                    <a16:creationId xmlns:a16="http://schemas.microsoft.com/office/drawing/2014/main" id="{00000000-0008-0000-0700-00002E000000}"/>
                  </a:ext>
                </a:extLst>
              </xdr:cNvPr>
              <xdr:cNvSpPr/>
            </xdr:nvSpPr>
            <xdr:spPr bwMode="auto">
              <a:xfrm>
                <a:off x="4467225" y="6076950"/>
                <a:ext cx="85725" cy="85725"/>
              </a:xfrm>
              <a:prstGeom prst="flowChartProcess">
                <a:avLst/>
              </a:prstGeom>
              <a:solidFill>
                <a:srgbClr val="BDC3C4"/>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4533900" y="6029325"/>
                <a:ext cx="24479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700" baseline="0">
                    <a:solidFill>
                      <a:schemeClr val="dk1"/>
                    </a:solidFill>
                    <a:effectLst/>
                    <a:latin typeface="+mn-lt"/>
                    <a:ea typeface="+mn-ea"/>
                    <a:cs typeface="+mn-cs"/>
                  </a:rPr>
                  <a:t>MIRIVE</a:t>
                </a:r>
                <a:r>
                  <a:rPr kumimoji="1" lang="ja-JP" altLang="ja-JP" sz="700">
                    <a:solidFill>
                      <a:schemeClr val="dk1"/>
                    </a:solidFill>
                    <a:effectLst/>
                    <a:latin typeface="+mn-lt"/>
                    <a:ea typeface="+mn-ea"/>
                    <a:cs typeface="+mn-cs"/>
                  </a:rPr>
                  <a:t> </a:t>
                </a:r>
                <a:r>
                  <a:rPr kumimoji="1" lang="en-US" altLang="ja-JP" sz="700">
                    <a:solidFill>
                      <a:schemeClr val="dk1"/>
                    </a:solidFill>
                    <a:effectLst/>
                    <a:latin typeface="+mn-lt"/>
                    <a:ea typeface="+mn-ea"/>
                    <a:cs typeface="+mn-cs"/>
                  </a:rPr>
                  <a:t>3.0</a:t>
                </a:r>
                <a:r>
                  <a:rPr kumimoji="1" lang="ja-JP" altLang="ja-JP" sz="700">
                    <a:solidFill>
                      <a:schemeClr val="dk1"/>
                    </a:solidFill>
                    <a:effectLst/>
                    <a:latin typeface="+mn-lt"/>
                    <a:ea typeface="+mn-ea"/>
                    <a:cs typeface="+mn-cs"/>
                  </a:rPr>
                  <a:t>％</a:t>
                </a:r>
                <a:endParaRPr lang="ja-JP" altLang="ja-JP" sz="700">
                  <a:effectLst/>
                </a:endParaRPr>
              </a:p>
            </xdr:txBody>
          </xdr:sp>
        </xdr:grpSp>
        <xdr:grpSp>
          <xdr:nvGrpSpPr>
            <xdr:cNvPr id="48" name="グループ化 47">
              <a:extLst>
                <a:ext uri="{FF2B5EF4-FFF2-40B4-BE49-F238E27FC236}">
                  <a16:creationId xmlns:a16="http://schemas.microsoft.com/office/drawing/2014/main" id="{00000000-0008-0000-0700-000030000000}"/>
                </a:ext>
              </a:extLst>
            </xdr:cNvPr>
            <xdr:cNvGrpSpPr/>
          </xdr:nvGrpSpPr>
          <xdr:grpSpPr>
            <a:xfrm>
              <a:off x="4467225" y="7000875"/>
              <a:ext cx="2514600" cy="190500"/>
              <a:chOff x="4467225" y="6029325"/>
              <a:chExt cx="2514600" cy="190500"/>
            </a:xfrm>
          </xdr:grpSpPr>
          <xdr:sp macro="" textlink="">
            <xdr:nvSpPr>
              <xdr:cNvPr id="49" name="フローチャート: 処理 48">
                <a:extLst>
                  <a:ext uri="{FF2B5EF4-FFF2-40B4-BE49-F238E27FC236}">
                    <a16:creationId xmlns:a16="http://schemas.microsoft.com/office/drawing/2014/main" id="{00000000-0008-0000-0700-000031000000}"/>
                  </a:ext>
                </a:extLst>
              </xdr:cNvPr>
              <xdr:cNvSpPr/>
            </xdr:nvSpPr>
            <xdr:spPr bwMode="auto">
              <a:xfrm>
                <a:off x="4467225" y="6076950"/>
                <a:ext cx="85725" cy="85725"/>
              </a:xfrm>
              <a:prstGeom prst="flowChartProcess">
                <a:avLst/>
              </a:prstGeom>
              <a:solidFill>
                <a:srgbClr val="E9EBEB"/>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4533900" y="6029325"/>
                <a:ext cx="24479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lt"/>
                    <a:ea typeface="メイリオ" panose="020B0604030504040204" pitchFamily="50" charset="-128"/>
                  </a:rPr>
                  <a:t>その他　</a:t>
                </a:r>
                <a:r>
                  <a:rPr kumimoji="1" lang="en-US" altLang="ja-JP" sz="700">
                    <a:latin typeface="+mn-lt"/>
                    <a:ea typeface="メイリオ" panose="020B0604030504040204" pitchFamily="50" charset="-128"/>
                  </a:rPr>
                  <a:t>Other</a:t>
                </a:r>
                <a:r>
                  <a:rPr kumimoji="1" lang="ja-JP" altLang="en-US" sz="700">
                    <a:latin typeface="+mn-lt"/>
                    <a:ea typeface="メイリオ" panose="020B0604030504040204" pitchFamily="50" charset="-128"/>
                  </a:rPr>
                  <a:t> </a:t>
                </a:r>
                <a:r>
                  <a:rPr kumimoji="1" lang="en-US" altLang="ja-JP" sz="700">
                    <a:latin typeface="+mn-lt"/>
                    <a:ea typeface="メイリオ" panose="020B0604030504040204" pitchFamily="50" charset="-128"/>
                  </a:rPr>
                  <a:t>26.9</a:t>
                </a:r>
                <a:r>
                  <a:rPr kumimoji="1" lang="ja-JP" altLang="en-US" sz="700">
                    <a:latin typeface="+mn-lt"/>
                    <a:ea typeface="メイリオ" panose="020B0604030504040204" pitchFamily="50" charset="-128"/>
                  </a:rPr>
                  <a:t>％</a:t>
                </a:r>
                <a:endParaRPr kumimoji="1" lang="en-US" altLang="ja-JP" sz="700">
                  <a:latin typeface="+mn-lt"/>
                  <a:ea typeface="メイリオ" panose="020B0604030504040204" pitchFamily="50" charset="-128"/>
                </a:endParaRPr>
              </a:p>
            </xdr:txBody>
          </xdr:sp>
        </xdr:grpSp>
      </xdr:grpSp>
    </xdr:grpSp>
    <xdr:clientData/>
  </xdr:twoCellAnchor>
  <mc:AlternateContent xmlns:mc="http://schemas.openxmlformats.org/markup-compatibility/2006">
    <mc:Choice xmlns:a14="http://schemas.microsoft.com/office/drawing/2010/main" Requires="a14">
      <xdr:twoCellAnchor>
        <xdr:from>
          <xdr:col>21</xdr:col>
          <xdr:colOff>57150</xdr:colOff>
          <xdr:row>49</xdr:row>
          <xdr:rowOff>142875</xdr:rowOff>
        </xdr:from>
        <xdr:to>
          <xdr:col>22</xdr:col>
          <xdr:colOff>400050</xdr:colOff>
          <xdr:row>51</xdr:row>
          <xdr:rowOff>0</xdr:rowOff>
        </xdr:to>
        <xdr:sp macro="" textlink="">
          <xdr:nvSpPr>
            <xdr:cNvPr id="1438782" name="Button 62" hidden="1">
              <a:extLst>
                <a:ext uri="{63B3BB69-23CF-44E3-9099-C40C66FF867C}">
                  <a14:compatExt spid="_x0000_s143878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ゴシック"/>
                  <a:ea typeface="ＭＳ ゴシック"/>
                </a:rPr>
                <a:t>確認印</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85725</xdr:colOff>
          <xdr:row>49</xdr:row>
          <xdr:rowOff>142875</xdr:rowOff>
        </xdr:from>
        <xdr:to>
          <xdr:col>24</xdr:col>
          <xdr:colOff>428625</xdr:colOff>
          <xdr:row>51</xdr:row>
          <xdr:rowOff>9525</xdr:rowOff>
        </xdr:to>
        <xdr:sp macro="" textlink="">
          <xdr:nvSpPr>
            <xdr:cNvPr id="1438784" name="Button 64" hidden="1">
              <a:extLst>
                <a:ext uri="{63B3BB69-23CF-44E3-9099-C40C66FF867C}">
                  <a14:compatExt spid="_x0000_s143878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ゴシック"/>
                  <a:ea typeface="ＭＳ ゴシック"/>
                </a:rPr>
                <a:t>承認印</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76200</xdr:colOff>
          <xdr:row>49</xdr:row>
          <xdr:rowOff>152400</xdr:rowOff>
        </xdr:from>
        <xdr:to>
          <xdr:col>26</xdr:col>
          <xdr:colOff>419100</xdr:colOff>
          <xdr:row>51</xdr:row>
          <xdr:rowOff>9525</xdr:rowOff>
        </xdr:to>
        <xdr:sp macro="" textlink="">
          <xdr:nvSpPr>
            <xdr:cNvPr id="1438785" name="Button 65" hidden="1">
              <a:extLst>
                <a:ext uri="{63B3BB69-23CF-44E3-9099-C40C66FF867C}">
                  <a14:compatExt spid="_x0000_s143878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ゴシック"/>
                  <a:ea typeface="ＭＳ ゴシック"/>
                </a:rPr>
                <a:t>担当印</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400050</xdr:colOff>
          <xdr:row>46</xdr:row>
          <xdr:rowOff>123825</xdr:rowOff>
        </xdr:from>
        <xdr:to>
          <xdr:col>28</xdr:col>
          <xdr:colOff>742950</xdr:colOff>
          <xdr:row>48</xdr:row>
          <xdr:rowOff>66675</xdr:rowOff>
        </xdr:to>
        <xdr:sp macro="" textlink="">
          <xdr:nvSpPr>
            <xdr:cNvPr id="1438786" name="Button 66" hidden="1">
              <a:extLst>
                <a:ext uri="{63B3BB69-23CF-44E3-9099-C40C66FF867C}">
                  <a14:compatExt spid="_x0000_s143878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ゴシック"/>
                  <a:ea typeface="ＭＳ ゴシック"/>
                </a:rPr>
                <a:t>捺印一括削除</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0</xdr:col>
      <xdr:colOff>489168</xdr:colOff>
      <xdr:row>0</xdr:row>
      <xdr:rowOff>501307</xdr:rowOff>
    </xdr:from>
    <xdr:to>
      <xdr:col>21</xdr:col>
      <xdr:colOff>495300</xdr:colOff>
      <xdr:row>2</xdr:row>
      <xdr:rowOff>44824</xdr:rowOff>
    </xdr:to>
    <xdr:sp macro="" textlink="">
      <xdr:nvSpPr>
        <xdr:cNvPr id="2" name="テキスト ボックス 1">
          <a:extLst>
            <a:ext uri="{FF2B5EF4-FFF2-40B4-BE49-F238E27FC236}">
              <a16:creationId xmlns:a16="http://schemas.microsoft.com/office/drawing/2014/main" id="{00000000-0008-0000-0800-000006000000}"/>
            </a:ext>
          </a:extLst>
        </xdr:cNvPr>
        <xdr:cNvSpPr txBox="1"/>
      </xdr:nvSpPr>
      <xdr:spPr>
        <a:xfrm>
          <a:off x="489168" y="501307"/>
          <a:ext cx="8254782" cy="315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メイリオ" panose="020B0604030504040204" pitchFamily="50" charset="-128"/>
              <a:ea typeface="メイリオ" panose="020B0604030504040204" pitchFamily="50" charset="-128"/>
            </a:rPr>
            <a:t>（５）オートオークション会場出品台数ランキング（暦年）　</a:t>
          </a:r>
          <a:r>
            <a:rPr kumimoji="1" lang="en-US" altLang="ja-JP" sz="800" b="0">
              <a:latin typeface="+mj-lt"/>
              <a:ea typeface="メイリオ" panose="020B0604030504040204" pitchFamily="50" charset="-128"/>
              <a:cs typeface="Arial" panose="020B0604020202020204" pitchFamily="34" charset="0"/>
            </a:rPr>
            <a:t>Ranking of Auto Auction Sites by Number of Consigned Vehicles (Calendar Year)</a:t>
          </a:r>
          <a:endParaRPr kumimoji="1" lang="ja-JP" altLang="en-US" sz="900" b="0">
            <a:latin typeface="+mj-lt"/>
            <a:ea typeface="メイリオ" panose="020B0604030504040204" pitchFamily="50" charset="-128"/>
            <a:cs typeface="Arial" panose="020B0604020202020204" pitchFamily="34" charset="0"/>
          </a:endParaRPr>
        </a:p>
      </xdr:txBody>
    </xdr:sp>
    <xdr:clientData/>
  </xdr:twoCellAnchor>
  <xdr:twoCellAnchor>
    <xdr:from>
      <xdr:col>21</xdr:col>
      <xdr:colOff>542925</xdr:colOff>
      <xdr:row>1</xdr:row>
      <xdr:rowOff>5682</xdr:rowOff>
    </xdr:from>
    <xdr:to>
      <xdr:col>23</xdr:col>
      <xdr:colOff>436394</xdr:colOff>
      <xdr:row>2</xdr:row>
      <xdr:rowOff>18335</xdr:rowOff>
    </xdr:to>
    <xdr:sp macro="" textlink="">
      <xdr:nvSpPr>
        <xdr:cNvPr id="3" name="テキスト ボックス 2">
          <a:extLst>
            <a:ext uri="{FF2B5EF4-FFF2-40B4-BE49-F238E27FC236}">
              <a16:creationId xmlns:a16="http://schemas.microsoft.com/office/drawing/2014/main" id="{00000000-0008-0000-0800-000007000000}"/>
            </a:ext>
          </a:extLst>
        </xdr:cNvPr>
        <xdr:cNvSpPr txBox="1"/>
      </xdr:nvSpPr>
      <xdr:spPr>
        <a:xfrm>
          <a:off x="8791575" y="529557"/>
          <a:ext cx="903119" cy="260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700" b="1">
              <a:solidFill>
                <a:srgbClr val="BDC3C4"/>
              </a:solidFill>
              <a:latin typeface="メイリオ" panose="020B0604030504040204" pitchFamily="50" charset="-128"/>
              <a:ea typeface="メイリオ" panose="020B0604030504040204" pitchFamily="50" charset="-128"/>
            </a:rPr>
            <a:t>Ⅱ-1.</a:t>
          </a:r>
          <a:r>
            <a:rPr kumimoji="1" lang="ja-JP" altLang="en-US" sz="700" b="1">
              <a:solidFill>
                <a:srgbClr val="BDC3C4"/>
              </a:solidFill>
              <a:latin typeface="メイリオ" panose="020B0604030504040204" pitchFamily="50" charset="-128"/>
              <a:ea typeface="メイリオ" panose="020B0604030504040204" pitchFamily="50" charset="-128"/>
            </a:rPr>
            <a:t>業界データ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Arial"/>
        <a:ea typeface="メイリオ"/>
        <a:cs typeface=""/>
      </a:majorFont>
      <a:minorFont>
        <a:latin typeface="Arial"/>
        <a:ea typeface="メイリオ"/>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uss.net.co.jp/"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AppData/Roaming/Microsoft/Excel/&#36861;&#21152;&#36039;&#26009;" TargetMode="External"/><Relationship Id="rId7" Type="http://schemas.openxmlformats.org/officeDocument/2006/relationships/vmlDrawing" Target="../drawings/vmlDrawing5.vml"/><Relationship Id="rId2" Type="http://schemas.openxmlformats.org/officeDocument/2006/relationships/hyperlink" Target="../../020516.USS-GROUP/AppData/Local/Temp/020516.USS-GROUP/AppData/Local/Temp/MicrosoftEdgeDownloads/10_&#25285;&#24403;&#26989;&#21209;/30_&#27770;&#31639;/DATABOOK/2203/&#12304;&#35201;&#30906;&#35469;&#12305;&#26412;&#27770;&#31639;&#26178;&#20462;&#27491;&#65432;&#65405;&#65412;" TargetMode="External"/><Relationship Id="rId1" Type="http://schemas.openxmlformats.org/officeDocument/2006/relationships/printerSettings" Target="../printerSettings/printerSettings19.bin"/><Relationship Id="rId6" Type="http://schemas.openxmlformats.org/officeDocument/2006/relationships/drawing" Target="../drawings/drawing11.xml"/><Relationship Id="rId5" Type="http://schemas.openxmlformats.org/officeDocument/2006/relationships/printerSettings" Target="../printerSettings/printerSettings20.bin"/><Relationship Id="rId4" Type="http://schemas.openxmlformats.org/officeDocument/2006/relationships/hyperlink" Target="../../020516.USS-GROUP/AppData/Local/Temp/020516.USS-GROUP/AppData/Local/Temp/MicrosoftEdgeDownloads/10_&#25285;&#24403;&#26989;&#21209;/30_&#27770;&#31639;/DATABOOK/2203/&#36861;&#21152;&#36039;&#26009;"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020516.USS-GROUP/AppData/Local/10_&#26085;&#27425;/&#65313;&#65313;&#23455;&#32318;/22.3&#26399;(2021&#24180;4&#26376;&#65374;2022&#24180;3&#26376;)/10_&#20250;&#22580;&#21029;&#23455;&#32318;&#34920;/2_&#23455;&#32318;&#34920;&#30906;&#23450;&#12487;&#12540;&#12479;" TargetMode="External"/><Relationship Id="rId1" Type="http://schemas.openxmlformats.org/officeDocument/2006/relationships/printerSettings" Target="../printerSettings/printerSettings21.bin"/><Relationship Id="rId6" Type="http://schemas.openxmlformats.org/officeDocument/2006/relationships/comments" Target="../comments5.xml"/><Relationship Id="rId5" Type="http://schemas.openxmlformats.org/officeDocument/2006/relationships/vmlDrawing" Target="../drawings/vmlDrawing6.vml"/><Relationship Id="rId4" Type="http://schemas.openxmlformats.org/officeDocument/2006/relationships/drawing" Target="../drawings/drawing14.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020516.USS-GROUP/AppData/Local/Temp/020516.USS-GROUP/AppData/Local/Temp/MicrosoftEdgeDownloads/10_&#25285;&#24403;&#26989;&#21209;/10_&#26085;&#27425;/&#65313;&#65313;&#23455;&#32318;/22.3&#26399;(2021&#24180;4&#26376;&#65374;2022&#24180;3&#26376;)/10_&#20250;&#22580;&#21029;&#23455;&#32318;&#34920;/2_&#23455;&#32318;&#34920;&#30906;&#23450;&#12486;&#12441;&#12540;&#12479;" TargetMode="External"/><Relationship Id="rId1" Type="http://schemas.openxmlformats.org/officeDocument/2006/relationships/printerSettings" Target="../printerSettings/printerSettings23.bin"/><Relationship Id="rId4" Type="http://schemas.openxmlformats.org/officeDocument/2006/relationships/drawing" Target="../drawings/drawing15.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20_&#25285;&#24403;&#20250;&#22580;\01_z&#36899;&#32080;\&#36899;&#32080;yymm&#26399;\&#36899;&#32080;yymm\4&#26376;-3&#26376;&#27770;&#31639;\&#30906;&#23450;&#12501;&#12457;&#12523;&#12480;&#65288;&#12481;&#12455;&#12483;&#12463;&#28168;&#65289;" TargetMode="External"/><Relationship Id="rId1" Type="http://schemas.openxmlformats.org/officeDocument/2006/relationships/printerSettings" Target="../printerSettings/printerSettings25.bin"/><Relationship Id="rId4" Type="http://schemas.openxmlformats.org/officeDocument/2006/relationships/drawing" Target="../drawings/drawing16.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hyperlink" Target="..\..\00_&#38283;&#31034;&#36039;&#26009;\&#20250;&#21729;&#25968;" TargetMode="External"/><Relationship Id="rId7" Type="http://schemas.openxmlformats.org/officeDocument/2006/relationships/comments" Target="../comments7.xml"/><Relationship Id="rId2" Type="http://schemas.openxmlformats.org/officeDocument/2006/relationships/hyperlink" Target="..\..\00_&#38283;&#31034;&#36039;&#26009;\&#22806;&#37096;&#33853;&#26413;" TargetMode="External"/><Relationship Id="rId1" Type="http://schemas.openxmlformats.org/officeDocument/2006/relationships/printerSettings" Target="../printerSettings/printerSettings33.bin"/><Relationship Id="rId6" Type="http://schemas.openxmlformats.org/officeDocument/2006/relationships/vmlDrawing" Target="../drawings/vmlDrawing8.vml"/><Relationship Id="rId5" Type="http://schemas.openxmlformats.org/officeDocument/2006/relationships/drawing" Target="../drawings/drawing23.xml"/><Relationship Id="rId4" Type="http://schemas.openxmlformats.org/officeDocument/2006/relationships/printerSettings" Target="../printerSettings/printerSettings34.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5" Type="http://schemas.openxmlformats.org/officeDocument/2006/relationships/comments" Target="../comments8.xml"/><Relationship Id="rId4"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hyperlink" Target="..\..\00_&#38283;&#31034;&#36039;&#26009;\&#12475;&#12464;&#12513;&#12531;&#12488;" TargetMode="External"/><Relationship Id="rId7" Type="http://schemas.openxmlformats.org/officeDocument/2006/relationships/comments" Target="../comments9.xml"/><Relationship Id="rId2" Type="http://schemas.openxmlformats.org/officeDocument/2006/relationships/hyperlink" Target="..\..\00_&#38283;&#31034;&#36039;&#26009;\&#37444;&#30456;&#22580;" TargetMode="External"/><Relationship Id="rId1" Type="http://schemas.openxmlformats.org/officeDocument/2006/relationships/printerSettings" Target="../printerSettings/printerSettings39.bin"/><Relationship Id="rId6" Type="http://schemas.openxmlformats.org/officeDocument/2006/relationships/vmlDrawing" Target="../drawings/vmlDrawing10.vml"/><Relationship Id="rId5" Type="http://schemas.openxmlformats.org/officeDocument/2006/relationships/drawing" Target="../drawings/drawing27.xml"/><Relationship Id="rId4" Type="http://schemas.openxmlformats.org/officeDocument/2006/relationships/printerSettings" Target="../printerSettings/printerSettings4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comments" Target="../comments10.xml"/><Relationship Id="rId4" Type="http://schemas.openxmlformats.org/officeDocument/2006/relationships/vmlDrawing" Target="../drawings/vmlDrawing11.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5" Type="http://schemas.openxmlformats.org/officeDocument/2006/relationships/comments" Target="../comments11.xml"/><Relationship Id="rId4" Type="http://schemas.openxmlformats.org/officeDocument/2006/relationships/vmlDrawing" Target="../drawings/vmlDrawing12.v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hyperlink" Target="..\..\..\40_&#20104;&#31639;\yymm\&#9312;&#24403;&#21021;&#20104;&#31639;\&#9313;&#23550;&#22806;&#20104;&#31639;\&#9314;&#20104;&#31639;&#38283;&#31034;&#36039;&#26009;" TargetMode="External"/><Relationship Id="rId1" Type="http://schemas.openxmlformats.org/officeDocument/2006/relationships/printerSettings" Target="../printerSettings/printerSettings47.bin"/><Relationship Id="rId6" Type="http://schemas.openxmlformats.org/officeDocument/2006/relationships/comments" Target="../comments13.xml"/><Relationship Id="rId5" Type="http://schemas.openxmlformats.org/officeDocument/2006/relationships/vmlDrawing" Target="../drawings/vmlDrawing14.vml"/><Relationship Id="rId4" Type="http://schemas.openxmlformats.org/officeDocument/2006/relationships/drawing" Target="../drawings/drawing31.xm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020516.USS-GROUP\AppData\Local\Temp\020516.USS-GROUP\AppData\Local\Temp\MicrosoftEdgeDownloads\10_&#25285;&#24403;&#26989;&#21209;\30_&#27770;&#31639;\DATABOOK\2203\&#36861;&#21152;&#36039;&#26009;" TargetMode="External"/><Relationship Id="rId1" Type="http://schemas.openxmlformats.org/officeDocument/2006/relationships/printerSettings" Target="../printerSettings/printerSettings9.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2.bin"/><Relationship Id="rId7" Type="http://schemas.openxmlformats.org/officeDocument/2006/relationships/ctrlProp" Target="../ctrlProps/ctrlProp2.xml"/><Relationship Id="rId2" Type="http://schemas.openxmlformats.org/officeDocument/2006/relationships/hyperlink" Target="../../10_&#26085;&#27425;/&#12518;&#12540;&#12473;&#12488;&#12459;&#12540;/2_&#22320;&#22495;&#21029;&#65313;&#65313;&#23455;&#32318;(&#26376;&#21029;)/1_&#22320;&#22495;&#21029;&#65313;&#65313;&#23455;&#32318;" TargetMode="External"/><Relationship Id="rId1" Type="http://schemas.openxmlformats.org/officeDocument/2006/relationships/printerSettings" Target="../printerSettings/printerSettings11.bin"/><Relationship Id="rId6" Type="http://schemas.openxmlformats.org/officeDocument/2006/relationships/ctrlProp" Target="../ctrlProps/ctrlProp1.xml"/><Relationship Id="rId5" Type="http://schemas.openxmlformats.org/officeDocument/2006/relationships/vmlDrawing" Target="../drawings/vmlDrawing3.vml"/><Relationship Id="rId4" Type="http://schemas.openxmlformats.org/officeDocument/2006/relationships/drawing" Target="../drawings/drawing7.xml"/><Relationship Id="rId9"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14.bin"/><Relationship Id="rId7" Type="http://schemas.openxmlformats.org/officeDocument/2006/relationships/ctrlProp" Target="../ctrlProps/ctrlProp6.xml"/><Relationship Id="rId2" Type="http://schemas.openxmlformats.org/officeDocument/2006/relationships/hyperlink" Target="../../10_&#25285;&#24403;&#26989;&#21209;/10_&#21488;&#25968;/&#12518;&#12540;&#12473;&#12488;&#12459;&#12540;/5_AA&#23455;&#32318;&#19978;&#21322;&#26399;&#12539;&#26278;&#24180;&#36039;&#26009;/&#12518;&#12540;&#12473;&#12488;&#12459;&#12540;&#19978;&#21322;&#26399;&#12539;&#26278;&#24180;&#23455;&#32318;&#65288;works-i&#29992;&#65289;" TargetMode="External"/><Relationship Id="rId1" Type="http://schemas.openxmlformats.org/officeDocument/2006/relationships/printerSettings" Target="../printerSettings/printerSettings13.bin"/><Relationship Id="rId6" Type="http://schemas.openxmlformats.org/officeDocument/2006/relationships/ctrlProp" Target="../ctrlProps/ctrlProp5.xml"/><Relationship Id="rId5" Type="http://schemas.openxmlformats.org/officeDocument/2006/relationships/vmlDrawing" Target="../drawings/vmlDrawing4.vml"/><Relationship Id="rId10" Type="http://schemas.openxmlformats.org/officeDocument/2006/relationships/comments" Target="../comments3.xml"/><Relationship Id="rId4" Type="http://schemas.openxmlformats.org/officeDocument/2006/relationships/drawing" Target="../drawings/drawing8.xml"/><Relationship Id="rId9"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10_&#25285;&#24403;&#26989;&#21209;/10_&#21488;&#25968;/&#12518;&#12540;&#12473;&#12488;&#12459;&#12540;/5_AA&#23455;&#32318;&#19978;&#21322;&#26399;&#12539;&#26278;&#24180;&#36039;&#26009;/&#12518;&#12540;&#12473;&#12488;&#12459;&#12540;&#19978;&#21322;&#26399;&#12539;&#26278;&#24180;&#23455;&#32318;&#65288;works-i&#29992;&#65289;" TargetMode="External"/><Relationship Id="rId1" Type="http://schemas.openxmlformats.org/officeDocument/2006/relationships/printerSettings" Target="../printerSettings/printerSettings15.bin"/><Relationship Id="rId4"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10_&#25285;&#24403;&#26989;&#21209;/10_&#21488;&#25968;/&#12518;&#12540;&#12473;&#12488;&#12459;&#12540;/5_AA&#23455;&#32318;&#19978;&#21322;&#26399;&#12539;&#26278;&#24180;&#36039;&#26009;/&#12518;&#12540;&#12473;&#12488;&#12459;&#12540;&#19978;&#21322;&#26399;&#12539;&#26278;&#24180;&#23455;&#32318;&#65288;works-i&#29992;&#65289;" TargetMode="External"/><Relationship Id="rId1" Type="http://schemas.openxmlformats.org/officeDocument/2006/relationships/printerSettings" Target="../printerSettings/printerSettings17.bin"/><Relationship Id="rId4"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P68"/>
  <sheetViews>
    <sheetView tabSelected="1" view="pageBreakPreview" zoomScaleNormal="80" zoomScaleSheetLayoutView="100" workbookViewId="0">
      <selection activeCell="N11" sqref="N11"/>
    </sheetView>
  </sheetViews>
  <sheetFormatPr defaultColWidth="10" defaultRowHeight="12"/>
  <cols>
    <col min="1" max="1" width="2.85546875" style="1" customWidth="1"/>
    <col min="2" max="5" width="8.85546875" style="1" customWidth="1"/>
    <col min="6" max="6" width="53.42578125" style="1" customWidth="1"/>
    <col min="7" max="10" width="10" style="1" customWidth="1"/>
    <col min="11" max="11" width="8.85546875" style="1" customWidth="1"/>
    <col min="12" max="12" width="2.85546875" style="1" customWidth="1"/>
    <col min="13" max="16384" width="10" style="1"/>
  </cols>
  <sheetData>
    <row r="2" spans="2:16" ht="22.5">
      <c r="B2" s="1539"/>
      <c r="C2" s="1539"/>
      <c r="D2" s="1539"/>
      <c r="E2" s="1539"/>
      <c r="F2" s="1539"/>
      <c r="G2" s="2170"/>
      <c r="H2" s="2170"/>
      <c r="I2" s="2170"/>
      <c r="J2" s="2170"/>
      <c r="K2" s="2170"/>
    </row>
    <row r="3" spans="2:16">
      <c r="B3" s="1539"/>
      <c r="C3" s="1539"/>
      <c r="D3" s="1539"/>
      <c r="E3" s="1539"/>
      <c r="F3" s="1539"/>
      <c r="G3" s="1539"/>
      <c r="H3" s="1539"/>
      <c r="I3" s="1539"/>
      <c r="J3" s="1539"/>
      <c r="K3" s="1539"/>
    </row>
    <row r="4" spans="2:16">
      <c r="B4" s="1539"/>
      <c r="C4" s="1539"/>
      <c r="D4" s="1539"/>
      <c r="E4" s="1539"/>
      <c r="F4" s="1539"/>
      <c r="G4" s="1539"/>
      <c r="H4" s="1539"/>
      <c r="I4" s="1539"/>
      <c r="J4" s="1539"/>
      <c r="K4" s="1539"/>
    </row>
    <row r="5" spans="2:16">
      <c r="B5" s="1539"/>
      <c r="C5" s="1539"/>
      <c r="D5" s="1539"/>
      <c r="E5" s="1539"/>
      <c r="F5" s="1539"/>
      <c r="G5" s="1539"/>
      <c r="H5" s="1539"/>
      <c r="I5" s="1539"/>
      <c r="J5" s="1539"/>
      <c r="K5" s="1539"/>
    </row>
    <row r="6" spans="2:16">
      <c r="B6" s="1539"/>
      <c r="C6" s="1539"/>
      <c r="D6" s="1539"/>
      <c r="E6" s="1539"/>
      <c r="F6" s="1539"/>
      <c r="G6" s="1539"/>
      <c r="H6" s="1539"/>
      <c r="I6" s="1539"/>
      <c r="J6" s="1539"/>
      <c r="K6" s="1539"/>
    </row>
    <row r="7" spans="2:16">
      <c r="B7" s="1539"/>
      <c r="C7" s="1539"/>
      <c r="D7" s="1539"/>
      <c r="E7" s="1539"/>
      <c r="F7" s="1539"/>
      <c r="G7" s="1539"/>
      <c r="H7" s="1539"/>
      <c r="I7" s="1539"/>
      <c r="J7" s="1539"/>
      <c r="K7" s="1539"/>
    </row>
    <row r="8" spans="2:16">
      <c r="B8" s="1539"/>
      <c r="C8" s="1539"/>
      <c r="D8" s="1539"/>
      <c r="E8" s="1539"/>
      <c r="F8" s="1539"/>
      <c r="G8" s="1539"/>
      <c r="H8" s="1539"/>
      <c r="I8" s="1539"/>
      <c r="J8" s="1539"/>
      <c r="K8" s="1539"/>
    </row>
    <row r="9" spans="2:16">
      <c r="B9" s="1539"/>
      <c r="C9" s="1539"/>
      <c r="D9" s="1539"/>
      <c r="E9" s="1539"/>
      <c r="F9" s="1539"/>
      <c r="G9" s="1539"/>
      <c r="H9" s="1539"/>
      <c r="I9" s="1539"/>
      <c r="J9" s="1539"/>
      <c r="K9" s="1539"/>
    </row>
    <row r="10" spans="2:16">
      <c r="B10" s="1539"/>
      <c r="C10" s="1539"/>
      <c r="D10" s="1539"/>
      <c r="E10" s="1539"/>
      <c r="F10" s="1539"/>
      <c r="G10" s="1539"/>
      <c r="H10" s="1539"/>
      <c r="I10" s="1539"/>
      <c r="J10" s="1539"/>
      <c r="K10" s="1539"/>
    </row>
    <row r="11" spans="2:16">
      <c r="B11" s="1539"/>
      <c r="C11" s="1539"/>
      <c r="D11" s="1539"/>
      <c r="E11" s="1539"/>
      <c r="F11" s="1539"/>
      <c r="G11" s="1539"/>
      <c r="H11" s="1539"/>
      <c r="I11" s="1539"/>
      <c r="J11" s="1539"/>
      <c r="K11" s="1539"/>
    </row>
    <row r="12" spans="2:16" s="2" customFormat="1" ht="64.5" customHeight="1">
      <c r="B12" s="2171"/>
      <c r="C12" s="2171"/>
      <c r="D12" s="2171"/>
      <c r="E12" s="2171"/>
      <c r="F12" s="2171"/>
      <c r="G12" s="2171"/>
      <c r="H12" s="2171"/>
      <c r="I12" s="2171"/>
      <c r="J12" s="2171"/>
      <c r="K12" s="2171"/>
    </row>
    <row r="13" spans="2:16" s="2" customFormat="1" ht="90.75" customHeight="1">
      <c r="B13" s="2172"/>
      <c r="C13" s="2172"/>
      <c r="D13" s="2172"/>
      <c r="E13" s="2172"/>
      <c r="F13" s="2172"/>
      <c r="G13" s="2172"/>
      <c r="H13" s="2172"/>
      <c r="I13" s="2172"/>
      <c r="J13" s="2172"/>
      <c r="K13" s="2172"/>
    </row>
    <row r="14" spans="2:16" s="2" customFormat="1" ht="69" customHeight="1">
      <c r="B14" s="2173"/>
      <c r="C14" s="2173"/>
      <c r="D14" s="2173"/>
      <c r="E14" s="2173"/>
      <c r="F14" s="2173"/>
      <c r="G14" s="2173"/>
      <c r="H14" s="2173"/>
      <c r="I14" s="2173"/>
      <c r="J14" s="2173"/>
      <c r="K14" s="2173"/>
    </row>
    <row r="15" spans="2:16" s="2" customFormat="1" ht="36.75" customHeight="1">
      <c r="B15" s="1540"/>
      <c r="C15" s="1540"/>
      <c r="D15" s="1540"/>
      <c r="E15" s="1540"/>
      <c r="F15" s="1540"/>
      <c r="G15" s="1540"/>
      <c r="H15" s="1540"/>
      <c r="I15" s="1540"/>
      <c r="J15" s="1540"/>
      <c r="K15" s="1540"/>
    </row>
    <row r="16" spans="2:16" ht="29.25" customHeight="1">
      <c r="B16" s="1541"/>
      <c r="C16" s="1541"/>
      <c r="D16" s="1541"/>
      <c r="E16" s="1541"/>
      <c r="F16" s="1541"/>
      <c r="G16" s="1541"/>
      <c r="H16" s="1541"/>
      <c r="I16" s="1541"/>
      <c r="J16" s="1541"/>
      <c r="K16" s="1541"/>
      <c r="P16" s="2"/>
    </row>
    <row r="17" spans="2:16" ht="29.1" customHeight="1">
      <c r="B17" s="2174"/>
      <c r="C17" s="2174"/>
      <c r="D17" s="2174"/>
      <c r="E17" s="2174"/>
      <c r="F17" s="2174"/>
      <c r="G17" s="2174"/>
      <c r="H17" s="2174"/>
      <c r="I17" s="2174"/>
      <c r="J17" s="2174"/>
      <c r="K17" s="2174"/>
      <c r="P17" s="2"/>
    </row>
    <row r="18" spans="2:16" ht="30.75" customHeight="1">
      <c r="B18" s="2175"/>
      <c r="C18" s="2175"/>
      <c r="D18" s="2175"/>
      <c r="E18" s="2175"/>
      <c r="F18" s="2175"/>
      <c r="G18" s="2175"/>
      <c r="H18" s="2175"/>
      <c r="I18" s="2175"/>
      <c r="J18" s="2175"/>
      <c r="K18" s="2175"/>
      <c r="P18" s="2"/>
    </row>
    <row r="19" spans="2:16" ht="35.25" customHeight="1">
      <c r="B19" s="2166"/>
      <c r="C19" s="2166"/>
      <c r="D19" s="2166"/>
      <c r="E19" s="2166"/>
      <c r="F19" s="2166"/>
      <c r="G19" s="2166"/>
      <c r="H19" s="2166"/>
      <c r="I19" s="2166"/>
      <c r="J19" s="2166"/>
      <c r="K19" s="2166"/>
    </row>
    <row r="20" spans="2:16" ht="27" hidden="1" customHeight="1">
      <c r="B20" s="2167"/>
      <c r="C20" s="2167"/>
      <c r="D20" s="2167"/>
      <c r="E20" s="2167"/>
      <c r="F20" s="2167"/>
      <c r="G20" s="2167"/>
      <c r="H20" s="2167"/>
      <c r="I20" s="2167"/>
      <c r="J20" s="2167"/>
      <c r="K20" s="2167"/>
    </row>
    <row r="21" spans="2:16" hidden="1"/>
    <row r="22" spans="2:16" ht="30.75" hidden="1" customHeight="1"/>
    <row r="23" spans="2:16" hidden="1"/>
    <row r="24" spans="2:16" hidden="1"/>
    <row r="25" spans="2:16" hidden="1"/>
    <row r="26" spans="2:16" hidden="1"/>
    <row r="27" spans="2:16" hidden="1"/>
    <row r="28" spans="2:16" hidden="1"/>
    <row r="29" spans="2:16" hidden="1"/>
    <row r="30" spans="2:16" hidden="1"/>
    <row r="31" spans="2:16" hidden="1"/>
    <row r="32" spans="2:16" hidden="1"/>
    <row r="33" hidden="1"/>
    <row r="34" hidden="1"/>
    <row r="35" hidden="1"/>
    <row r="36" hidden="1"/>
    <row r="37" hidden="1"/>
    <row r="38" hidden="1"/>
    <row r="39" hidden="1"/>
    <row r="40" hidden="1"/>
    <row r="41" hidden="1"/>
    <row r="42" hidden="1"/>
    <row r="43" hidden="1"/>
    <row r="44" hidden="1"/>
    <row r="45" hidden="1"/>
    <row r="46" hidden="1"/>
    <row r="47" hidden="1"/>
    <row r="48" hidden="1"/>
    <row r="49" spans="6:15" hidden="1"/>
    <row r="50" spans="6:15" hidden="1"/>
    <row r="51" spans="6:15" hidden="1"/>
    <row r="52" spans="6:15" hidden="1"/>
    <row r="53" spans="6:15" hidden="1"/>
    <row r="54" spans="6:15" hidden="1"/>
    <row r="55" spans="6:15" hidden="1"/>
    <row r="56" spans="6:15" ht="30.75" hidden="1">
      <c r="F56" s="2168" t="s">
        <v>218</v>
      </c>
      <c r="G56" s="2168"/>
      <c r="H56" s="2168"/>
      <c r="I56" s="2168"/>
      <c r="J56" s="2168"/>
      <c r="K56" s="2168"/>
      <c r="L56" s="2168"/>
      <c r="M56" s="2168"/>
      <c r="N56" s="2168"/>
      <c r="O56" s="2168"/>
    </row>
    <row r="57" spans="6:15" ht="18.75" hidden="1">
      <c r="F57" s="2169" t="s">
        <v>347</v>
      </c>
      <c r="G57" s="2169"/>
      <c r="H57" s="2169"/>
      <c r="I57" s="2169"/>
      <c r="J57" s="2169"/>
      <c r="K57" s="2169"/>
      <c r="L57" s="2169"/>
      <c r="M57" s="2169"/>
      <c r="N57" s="2169"/>
      <c r="O57" s="2169"/>
    </row>
    <row r="58" spans="6:15" hidden="1"/>
    <row r="59" spans="6:15" hidden="1"/>
    <row r="60" spans="6:15" hidden="1"/>
    <row r="61" spans="6:15" hidden="1"/>
    <row r="62" spans="6:15" hidden="1"/>
    <row r="63" spans="6:15" hidden="1"/>
    <row r="64" spans="6:15" hidden="1"/>
    <row r="65" hidden="1"/>
    <row r="66" hidden="1"/>
    <row r="67" hidden="1"/>
    <row r="68" hidden="1"/>
  </sheetData>
  <sheetProtection algorithmName="SHA-512" hashValue="GPaAOrr9j/Phs089B0w2HwR69hmGh/h1/DKZZr1+AzNZ5m6j2PlHTUB1RyDp23eF6HPav+vjiammAWpZixAcVA==" saltValue="QQUUtNaPYA3cd7Td8G2nVQ==" spinCount="100000" sheet="1" objects="1" scenarios="1"/>
  <customSheetViews>
    <customSheetView guid="{06451E13-97D0-44F4-875B-E8D80B2F1CF1}" scale="80" showPageBreaks="1" printArea="1" hiddenRows="1" view="pageBreakPreview">
      <selection activeCell="N14" sqref="N14"/>
      <pageMargins left="0" right="0" top="0" bottom="0" header="0" footer="0"/>
      <printOptions horizontalCentered="1" verticalCentered="1"/>
      <pageSetup paperSize="9" scale="113" orientation="landscape" r:id="rId1"/>
      <headerFooter alignWithMargins="0"/>
    </customSheetView>
  </customSheetViews>
  <mergeCells count="10">
    <mergeCell ref="B19:K19"/>
    <mergeCell ref="B20:K20"/>
    <mergeCell ref="F56:O56"/>
    <mergeCell ref="F57:O57"/>
    <mergeCell ref="G2:K2"/>
    <mergeCell ref="B12:K12"/>
    <mergeCell ref="B13:K13"/>
    <mergeCell ref="B14:K14"/>
    <mergeCell ref="B17:K17"/>
    <mergeCell ref="B18:K18"/>
  </mergeCells>
  <phoneticPr fontId="29"/>
  <hyperlinks>
    <hyperlink ref="F57" r:id="rId2" display="http://www.uss.net.co.jp"/>
  </hyperlinks>
  <printOptions horizontalCentered="1" verticalCentered="1"/>
  <pageMargins left="0" right="0" top="0" bottom="0" header="0" footer="0"/>
  <pageSetup paperSize="9" scale="113" orientation="landscape" r:id="rId3"/>
  <headerFooter alignWithMargins="0"/>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pageSetUpPr fitToPage="1"/>
  </sheetPr>
  <dimension ref="A1:BD52"/>
  <sheetViews>
    <sheetView view="pageBreakPreview" zoomScale="85" zoomScaleNormal="85" zoomScaleSheetLayoutView="85" workbookViewId="0">
      <selection activeCell="AD1" sqref="AD1:BJ1048576"/>
    </sheetView>
  </sheetViews>
  <sheetFormatPr defaultColWidth="9.140625" defaultRowHeight="12.75"/>
  <cols>
    <col min="1" max="1" width="9.140625" style="769" customWidth="1"/>
    <col min="2" max="2" width="14.140625" style="769" customWidth="1"/>
    <col min="3" max="3" width="2.140625" style="769" customWidth="1"/>
    <col min="4" max="4" width="18.5703125" style="769" customWidth="1"/>
    <col min="5" max="28" width="5.85546875" style="769" customWidth="1"/>
    <col min="29" max="29" width="11" style="769" customWidth="1"/>
    <col min="30" max="30" width="11.140625" style="769" hidden="1" customWidth="1"/>
    <col min="31" max="31" width="18.85546875" style="769" hidden="1" customWidth="1"/>
    <col min="32" max="36" width="9" style="769" hidden="1" customWidth="1"/>
    <col min="37" max="37" width="9.140625" style="769" hidden="1" customWidth="1"/>
    <col min="38" max="53" width="9" style="769" hidden="1" customWidth="1"/>
    <col min="54" max="54" width="8.85546875" style="769" hidden="1" customWidth="1"/>
    <col min="55" max="55" width="6.5703125" style="769" hidden="1" customWidth="1"/>
    <col min="56" max="56" width="28.5703125" style="769" hidden="1" customWidth="1"/>
    <col min="57" max="62" width="0" style="769" hidden="1" customWidth="1"/>
    <col min="63" max="16384" width="9.140625" style="769"/>
  </cols>
  <sheetData>
    <row r="1" spans="1:45" ht="58.5" customHeight="1">
      <c r="A1" s="779"/>
      <c r="B1" s="779"/>
      <c r="C1" s="779"/>
      <c r="D1" s="779"/>
      <c r="E1" s="779"/>
      <c r="F1" s="779"/>
      <c r="G1" s="779"/>
      <c r="H1" s="779"/>
      <c r="I1" s="779"/>
      <c r="J1" s="779"/>
      <c r="K1" s="779"/>
      <c r="L1" s="779"/>
      <c r="M1" s="779"/>
      <c r="N1" s="779"/>
      <c r="O1" s="779"/>
      <c r="P1" s="779"/>
      <c r="Q1" s="779"/>
      <c r="R1" s="779"/>
      <c r="S1" s="779"/>
      <c r="T1" s="779"/>
      <c r="U1" s="779"/>
      <c r="V1" s="779"/>
      <c r="W1" s="779"/>
      <c r="X1" s="779"/>
      <c r="Y1" s="779"/>
      <c r="Z1" s="779"/>
      <c r="AA1" s="779"/>
      <c r="AB1" s="779"/>
      <c r="AC1" s="779"/>
    </row>
    <row r="2" spans="1:45" ht="20.25" customHeight="1">
      <c r="A2" s="670"/>
      <c r="B2" s="781"/>
      <c r="C2" s="781"/>
      <c r="D2" s="781"/>
      <c r="E2" s="779"/>
      <c r="F2" s="779"/>
      <c r="G2" s="779"/>
      <c r="H2" s="779"/>
      <c r="I2" s="779"/>
      <c r="J2" s="779"/>
      <c r="K2" s="779"/>
      <c r="L2" s="779"/>
      <c r="M2" s="779"/>
      <c r="N2" s="779"/>
      <c r="O2" s="779"/>
      <c r="P2" s="779"/>
      <c r="Q2" s="779"/>
      <c r="R2" s="779"/>
      <c r="S2" s="779"/>
      <c r="T2" s="779"/>
      <c r="U2" s="779"/>
      <c r="V2" s="779"/>
      <c r="W2" s="779"/>
      <c r="X2" s="779"/>
      <c r="Y2" s="779"/>
      <c r="Z2" s="779"/>
      <c r="AA2" s="779"/>
      <c r="AB2" s="779"/>
      <c r="AC2" s="779"/>
    </row>
    <row r="3" spans="1:45" ht="12" customHeight="1">
      <c r="A3" s="779"/>
      <c r="B3" s="779"/>
      <c r="C3" s="779"/>
      <c r="D3" s="779"/>
      <c r="E3" s="779"/>
      <c r="F3" s="1043"/>
      <c r="G3" s="779"/>
      <c r="H3" s="1043"/>
      <c r="I3" s="779"/>
      <c r="J3" s="1043"/>
      <c r="K3" s="779"/>
      <c r="L3" s="1043"/>
      <c r="M3" s="779"/>
      <c r="N3" s="1043"/>
      <c r="O3" s="779"/>
      <c r="P3" s="1043"/>
      <c r="Q3" s="779"/>
      <c r="R3" s="1043"/>
      <c r="S3" s="779"/>
      <c r="T3" s="1043"/>
      <c r="U3" s="779"/>
      <c r="V3" s="1043"/>
      <c r="W3" s="779"/>
      <c r="X3" s="1043"/>
      <c r="Y3" s="779"/>
      <c r="Z3" s="1043"/>
      <c r="AA3" s="779"/>
      <c r="AB3" s="1043"/>
      <c r="AC3" s="779"/>
    </row>
    <row r="4" spans="1:45" ht="12" customHeight="1">
      <c r="A4" s="779"/>
      <c r="B4" s="779"/>
      <c r="C4" s="779"/>
      <c r="D4" s="779"/>
      <c r="E4" s="779"/>
      <c r="F4" s="779"/>
      <c r="G4" s="779"/>
      <c r="H4" s="779"/>
      <c r="I4" s="779"/>
      <c r="J4" s="779"/>
      <c r="K4" s="779"/>
      <c r="L4" s="779"/>
      <c r="M4" s="779"/>
      <c r="N4" s="779"/>
      <c r="O4" s="779"/>
      <c r="P4" s="779"/>
      <c r="Q4" s="779"/>
      <c r="R4" s="779"/>
      <c r="S4" s="779"/>
      <c r="T4" s="779"/>
      <c r="U4" s="779"/>
      <c r="V4" s="779"/>
      <c r="W4" s="779"/>
      <c r="X4" s="779"/>
      <c r="Y4" s="779"/>
      <c r="Z4" s="1792"/>
      <c r="AA4" s="779"/>
      <c r="AB4" s="779"/>
      <c r="AC4" s="779"/>
      <c r="AE4" s="769" t="s">
        <v>557</v>
      </c>
    </row>
    <row r="5" spans="1:45" ht="28.5" customHeight="1" thickBot="1">
      <c r="A5" s="779"/>
      <c r="B5" s="779"/>
      <c r="C5" s="779"/>
      <c r="D5" s="779"/>
      <c r="E5" s="779"/>
      <c r="F5" s="779"/>
      <c r="G5" s="779"/>
      <c r="H5" s="779"/>
      <c r="I5" s="779"/>
      <c r="J5" s="779"/>
      <c r="K5" s="779"/>
      <c r="L5" s="779"/>
      <c r="M5" s="779"/>
      <c r="N5" s="779"/>
      <c r="O5" s="779"/>
      <c r="P5" s="779"/>
      <c r="Q5" s="779"/>
      <c r="R5" s="779"/>
      <c r="S5" s="779"/>
      <c r="T5" s="779"/>
      <c r="U5" s="779"/>
      <c r="V5" s="779"/>
      <c r="W5" s="779"/>
      <c r="X5" s="779"/>
      <c r="Y5" s="779"/>
      <c r="Z5" s="1792"/>
      <c r="AA5" s="779"/>
      <c r="AB5" s="1075" t="s">
        <v>1713</v>
      </c>
      <c r="AC5" s="779"/>
    </row>
    <row r="6" spans="1:45" ht="24" customHeight="1">
      <c r="A6" s="779"/>
      <c r="B6" s="2399"/>
      <c r="C6" s="2399"/>
      <c r="D6" s="2399"/>
      <c r="E6" s="2377">
        <f>AH6</f>
        <v>2015</v>
      </c>
      <c r="F6" s="2377"/>
      <c r="G6" s="2380">
        <f>AI6</f>
        <v>2016</v>
      </c>
      <c r="H6" s="2206"/>
      <c r="I6" s="2380">
        <f>AJ6</f>
        <v>2017</v>
      </c>
      <c r="J6" s="2206"/>
      <c r="K6" s="2380">
        <f>AK6</f>
        <v>2018</v>
      </c>
      <c r="L6" s="2206"/>
      <c r="M6" s="2380">
        <f>AL6</f>
        <v>2019</v>
      </c>
      <c r="N6" s="2206"/>
      <c r="O6" s="2380">
        <f>AM6</f>
        <v>2020</v>
      </c>
      <c r="P6" s="2206"/>
      <c r="Q6" s="2380">
        <f>AN6</f>
        <v>2021</v>
      </c>
      <c r="R6" s="2206"/>
      <c r="S6" s="2380">
        <f>AO6</f>
        <v>2022</v>
      </c>
      <c r="T6" s="2206"/>
      <c r="U6" s="2380">
        <f>AP6</f>
        <v>2023</v>
      </c>
      <c r="V6" s="2206"/>
      <c r="W6" s="2380">
        <f>AQ6</f>
        <v>2024</v>
      </c>
      <c r="X6" s="2206"/>
      <c r="Y6" s="2378">
        <f>AR6</f>
        <v>2025</v>
      </c>
      <c r="Z6" s="2200"/>
      <c r="AA6" s="2371" t="s">
        <v>558</v>
      </c>
      <c r="AB6" s="2372"/>
      <c r="AC6" s="779"/>
      <c r="AE6" s="2392"/>
      <c r="AF6" s="2393"/>
      <c r="AG6" s="2252">
        <v>2014</v>
      </c>
      <c r="AH6" s="2252">
        <f>AG6+1</f>
        <v>2015</v>
      </c>
      <c r="AI6" s="2252">
        <f t="shared" ref="AI6:AQ6" si="0">AH6+1</f>
        <v>2016</v>
      </c>
      <c r="AJ6" s="2252">
        <f t="shared" si="0"/>
        <v>2017</v>
      </c>
      <c r="AK6" s="2252">
        <f t="shared" si="0"/>
        <v>2018</v>
      </c>
      <c r="AL6" s="2252">
        <f t="shared" si="0"/>
        <v>2019</v>
      </c>
      <c r="AM6" s="2252">
        <f t="shared" si="0"/>
        <v>2020</v>
      </c>
      <c r="AN6" s="2252">
        <f t="shared" si="0"/>
        <v>2021</v>
      </c>
      <c r="AO6" s="2252">
        <f t="shared" si="0"/>
        <v>2022</v>
      </c>
      <c r="AP6" s="2252">
        <f t="shared" si="0"/>
        <v>2023</v>
      </c>
      <c r="AQ6" s="2248">
        <f t="shared" si="0"/>
        <v>2024</v>
      </c>
      <c r="AR6" s="2387">
        <f>AQ6+1</f>
        <v>2025</v>
      </c>
      <c r="AS6" s="1044" t="s">
        <v>537</v>
      </c>
    </row>
    <row r="7" spans="1:45" ht="18.95" customHeight="1" thickBot="1">
      <c r="A7" s="779"/>
      <c r="B7" s="2400"/>
      <c r="C7" s="2400"/>
      <c r="D7" s="2400"/>
      <c r="E7" s="2401"/>
      <c r="F7" s="2401"/>
      <c r="G7" s="2311"/>
      <c r="H7" s="2311"/>
      <c r="I7" s="2311"/>
      <c r="J7" s="2311"/>
      <c r="K7" s="2311"/>
      <c r="L7" s="2311"/>
      <c r="M7" s="2311"/>
      <c r="N7" s="2311"/>
      <c r="O7" s="2311"/>
      <c r="P7" s="2311"/>
      <c r="Q7" s="2311"/>
      <c r="R7" s="2311"/>
      <c r="S7" s="2311"/>
      <c r="T7" s="2311"/>
      <c r="U7" s="2311"/>
      <c r="V7" s="2311"/>
      <c r="W7" s="2311"/>
      <c r="X7" s="2311"/>
      <c r="Y7" s="2308"/>
      <c r="Z7" s="2379"/>
      <c r="AA7" s="2389" t="s">
        <v>509</v>
      </c>
      <c r="AB7" s="2390"/>
      <c r="AC7" s="779"/>
      <c r="AE7" s="2394"/>
      <c r="AF7" s="2395"/>
      <c r="AG7" s="2391"/>
      <c r="AH7" s="2391"/>
      <c r="AI7" s="2391"/>
      <c r="AJ7" s="2391"/>
      <c r="AK7" s="2391"/>
      <c r="AL7" s="2391"/>
      <c r="AM7" s="2391"/>
      <c r="AN7" s="2391"/>
      <c r="AO7" s="2391"/>
      <c r="AP7" s="2391"/>
      <c r="AQ7" s="2386"/>
      <c r="AR7" s="2388"/>
      <c r="AS7" s="1045" t="s">
        <v>5</v>
      </c>
    </row>
    <row r="8" spans="1:45" ht="18" customHeight="1" thickTop="1">
      <c r="A8" s="779"/>
      <c r="B8" s="2402" t="s">
        <v>1482</v>
      </c>
      <c r="C8" s="2403"/>
      <c r="D8" s="2403"/>
      <c r="E8" s="2381">
        <f>ROUNDDOWN(AH8/1000,0)</f>
        <v>406</v>
      </c>
      <c r="F8" s="2381"/>
      <c r="G8" s="2381">
        <f>ROUNDDOWN(AI8/1000,0)</f>
        <v>372</v>
      </c>
      <c r="H8" s="2381"/>
      <c r="I8" s="2381">
        <f>ROUNDDOWN(AJ8/1000,0)</f>
        <v>383</v>
      </c>
      <c r="J8" s="2381"/>
      <c r="K8" s="2381">
        <f>ROUNDDOWN(AK8/1000,0)</f>
        <v>369</v>
      </c>
      <c r="L8" s="2381"/>
      <c r="M8" s="2381">
        <f>ROUNDDOWN(AL8/1000,0)</f>
        <v>362</v>
      </c>
      <c r="N8" s="2381"/>
      <c r="O8" s="2381">
        <f>ROUNDDOWN(AM8/1000,0)</f>
        <v>365</v>
      </c>
      <c r="P8" s="2381"/>
      <c r="Q8" s="2381">
        <f>ROUNDDOWN(AN8/1000,0)</f>
        <v>415</v>
      </c>
      <c r="R8" s="2381"/>
      <c r="S8" s="2381">
        <f>ROUNDDOWN(AO8/1000,0)</f>
        <v>405</v>
      </c>
      <c r="T8" s="2381"/>
      <c r="U8" s="2381">
        <f>ROUNDDOWN(AP8/1000,0)</f>
        <v>405</v>
      </c>
      <c r="V8" s="2381"/>
      <c r="W8" s="2381">
        <f>ROUNDDOWN(AQ8/1000,0)</f>
        <v>367</v>
      </c>
      <c r="X8" s="2381"/>
      <c r="Y8" s="2381">
        <f>ROUNDDOWN(AR8/1000,0)</f>
        <v>361</v>
      </c>
      <c r="Z8" s="2381"/>
      <c r="AA8" s="2385">
        <f>AS8</f>
        <v>-1.155187663344337</v>
      </c>
      <c r="AB8" s="2381"/>
      <c r="AC8" s="779"/>
      <c r="AE8" s="2383" t="s">
        <v>702</v>
      </c>
      <c r="AF8" s="2384"/>
      <c r="AG8" s="1046">
        <v>449628</v>
      </c>
      <c r="AH8" s="1046">
        <v>406591</v>
      </c>
      <c r="AI8" s="1046">
        <v>372891</v>
      </c>
      <c r="AJ8" s="1046">
        <v>383613</v>
      </c>
      <c r="AK8" s="1046">
        <v>369114</v>
      </c>
      <c r="AL8" s="1046">
        <v>362304</v>
      </c>
      <c r="AM8" s="1046">
        <v>365924</v>
      </c>
      <c r="AN8" s="1046">
        <v>415892</v>
      </c>
      <c r="AO8" s="1046">
        <v>405201</v>
      </c>
      <c r="AP8" s="1046">
        <v>405216</v>
      </c>
      <c r="AQ8" s="1047">
        <v>367960</v>
      </c>
      <c r="AR8" s="874">
        <v>361990</v>
      </c>
      <c r="AS8" s="1048">
        <f>((AR8/AH8)^(1/10)-1)*100</f>
        <v>-1.155187663344337</v>
      </c>
    </row>
    <row r="9" spans="1:45" ht="18" customHeight="1" thickBot="1">
      <c r="A9" s="779"/>
      <c r="B9" s="2382" t="s">
        <v>1262</v>
      </c>
      <c r="C9" s="2382"/>
      <c r="D9" s="2382"/>
      <c r="E9" s="2376">
        <f>AH9</f>
        <v>-9.5999999999999979</v>
      </c>
      <c r="F9" s="2376"/>
      <c r="G9" s="2376">
        <f>AI9</f>
        <v>-8.2999999999999972</v>
      </c>
      <c r="H9" s="2376"/>
      <c r="I9" s="2376">
        <f>AJ9</f>
        <v>2.8999999999999915</v>
      </c>
      <c r="J9" s="2376"/>
      <c r="K9" s="2376">
        <f>AK9</f>
        <v>-3.8000000000000034</v>
      </c>
      <c r="L9" s="2376"/>
      <c r="M9" s="2376">
        <f>AL9</f>
        <v>-1.8000000000000016</v>
      </c>
      <c r="N9" s="2376"/>
      <c r="O9" s="2376">
        <f>AM9</f>
        <v>1.0000000000000009</v>
      </c>
      <c r="P9" s="2376"/>
      <c r="Q9" s="2376">
        <f>AN9</f>
        <v>13.700000000000001</v>
      </c>
      <c r="R9" s="2376"/>
      <c r="S9" s="2376">
        <f>AO9</f>
        <v>-2.6000000000000023</v>
      </c>
      <c r="T9" s="2376"/>
      <c r="U9" s="2376">
        <f>AP9</f>
        <v>0</v>
      </c>
      <c r="V9" s="2376"/>
      <c r="W9" s="2376">
        <f>AQ9</f>
        <v>-9.1999999999999975</v>
      </c>
      <c r="X9" s="2376"/>
      <c r="Y9" s="2376">
        <f>AR9</f>
        <v>-1.6000000000000014</v>
      </c>
      <c r="Z9" s="2376"/>
      <c r="AA9" s="2375" t="str">
        <f>AS9</f>
        <v>-</v>
      </c>
      <c r="AB9" s="2375"/>
      <c r="AC9" s="779"/>
      <c r="AE9" s="1049" t="s">
        <v>703</v>
      </c>
      <c r="AF9" s="1050" t="s">
        <v>299</v>
      </c>
      <c r="AG9" s="1051"/>
      <c r="AH9" s="1051">
        <f t="shared" ref="AH9:AQ9" si="1">(ROUND(AH8/AG8,3)-1)*100</f>
        <v>-9.5999999999999979</v>
      </c>
      <c r="AI9" s="1051">
        <f t="shared" si="1"/>
        <v>-8.2999999999999972</v>
      </c>
      <c r="AJ9" s="1051">
        <f t="shared" si="1"/>
        <v>2.8999999999999915</v>
      </c>
      <c r="AK9" s="1051">
        <f t="shared" si="1"/>
        <v>-3.8000000000000034</v>
      </c>
      <c r="AL9" s="1051">
        <f t="shared" si="1"/>
        <v>-1.8000000000000016</v>
      </c>
      <c r="AM9" s="1051">
        <f t="shared" si="1"/>
        <v>1.0000000000000009</v>
      </c>
      <c r="AN9" s="1051">
        <f t="shared" si="1"/>
        <v>13.700000000000001</v>
      </c>
      <c r="AO9" s="1051">
        <f t="shared" si="1"/>
        <v>-2.6000000000000023</v>
      </c>
      <c r="AP9" s="1051">
        <f t="shared" si="1"/>
        <v>0</v>
      </c>
      <c r="AQ9" s="1052">
        <f t="shared" si="1"/>
        <v>-9.1999999999999975</v>
      </c>
      <c r="AR9" s="1053">
        <f>(ROUND(AR8/AQ8,3)-1)*100</f>
        <v>-1.6000000000000014</v>
      </c>
      <c r="AS9" s="884" t="s">
        <v>340</v>
      </c>
    </row>
    <row r="10" spans="1:45" ht="9.75" customHeight="1">
      <c r="A10" s="779"/>
      <c r="B10" s="1786" t="s">
        <v>704</v>
      </c>
      <c r="C10" s="1001"/>
      <c r="D10" s="1054"/>
      <c r="E10" s="1055"/>
      <c r="F10" s="1055"/>
      <c r="G10" s="1055"/>
      <c r="H10" s="1055"/>
      <c r="I10" s="1055"/>
      <c r="J10" s="1055"/>
      <c r="K10" s="1055"/>
      <c r="L10" s="1055"/>
      <c r="M10" s="1055"/>
      <c r="N10" s="1055"/>
      <c r="O10" s="1055"/>
      <c r="P10" s="1055"/>
      <c r="Q10" s="1055"/>
      <c r="R10" s="1055"/>
      <c r="S10" s="1055"/>
      <c r="T10" s="1055"/>
      <c r="U10" s="1055"/>
      <c r="V10" s="1055"/>
      <c r="W10" s="1055"/>
      <c r="X10" s="1055"/>
      <c r="Y10" s="1055"/>
      <c r="Z10" s="1055"/>
      <c r="AA10" s="1056"/>
      <c r="AB10" s="1056"/>
      <c r="AC10" s="779"/>
      <c r="AE10" s="1057"/>
      <c r="AF10" s="1790"/>
      <c r="AG10" s="1058"/>
      <c r="AH10" s="1058"/>
      <c r="AI10" s="1058"/>
      <c r="AJ10" s="1058"/>
      <c r="AK10" s="1058"/>
      <c r="AL10" s="1058"/>
      <c r="AM10" s="1058"/>
      <c r="AN10" s="1058"/>
      <c r="AO10" s="1058"/>
      <c r="AP10" s="1058"/>
      <c r="AQ10" s="1058"/>
      <c r="AR10" s="1058"/>
      <c r="AS10" s="1059"/>
    </row>
    <row r="11" spans="1:45" ht="9.75" customHeight="1">
      <c r="A11" s="779"/>
      <c r="B11" s="1786" t="s">
        <v>1719</v>
      </c>
      <c r="C11" s="779"/>
      <c r="D11" s="779"/>
      <c r="E11" s="779"/>
      <c r="F11" s="779"/>
      <c r="G11" s="779"/>
      <c r="H11" s="779"/>
      <c r="I11" s="779"/>
      <c r="J11" s="779"/>
      <c r="K11" s="779"/>
      <c r="L11" s="779"/>
      <c r="M11" s="779"/>
      <c r="N11" s="779"/>
      <c r="O11" s="779"/>
      <c r="P11" s="779"/>
      <c r="Q11" s="779"/>
      <c r="R11" s="779"/>
      <c r="S11" s="779"/>
      <c r="T11" s="779"/>
      <c r="U11" s="779"/>
      <c r="V11" s="779"/>
      <c r="W11" s="779"/>
      <c r="X11" s="779"/>
      <c r="Y11" s="779"/>
      <c r="Z11" s="1792"/>
      <c r="AA11" s="779"/>
      <c r="AB11" s="779"/>
      <c r="AC11" s="779"/>
    </row>
    <row r="12" spans="1:45" ht="12" customHeight="1">
      <c r="A12" s="779"/>
      <c r="B12" s="668"/>
      <c r="C12" s="779"/>
      <c r="D12" s="779"/>
      <c r="E12" s="779"/>
      <c r="F12" s="779"/>
      <c r="G12" s="779"/>
      <c r="H12" s="779"/>
      <c r="I12" s="779"/>
      <c r="J12" s="779"/>
      <c r="K12" s="779"/>
      <c r="L12" s="779"/>
      <c r="M12" s="779"/>
      <c r="N12" s="779"/>
      <c r="O12" s="779"/>
      <c r="P12" s="779"/>
      <c r="Q12" s="779"/>
      <c r="R12" s="779"/>
      <c r="S12" s="779"/>
      <c r="T12" s="779"/>
      <c r="U12" s="779"/>
      <c r="V12" s="779"/>
      <c r="W12" s="779"/>
      <c r="X12" s="779"/>
      <c r="Y12" s="779"/>
      <c r="Z12" s="1792"/>
      <c r="AA12" s="779"/>
      <c r="AB12" s="779"/>
      <c r="AC12" s="779"/>
      <c r="AE12" s="769" t="s">
        <v>705</v>
      </c>
    </row>
    <row r="13" spans="1:45" ht="12" hidden="1" customHeight="1">
      <c r="A13" s="779"/>
      <c r="B13" s="779"/>
      <c r="C13" s="779"/>
      <c r="D13" s="779"/>
      <c r="E13" s="779"/>
      <c r="F13" s="779"/>
      <c r="G13" s="779"/>
      <c r="H13" s="779"/>
      <c r="I13" s="779"/>
      <c r="J13" s="779"/>
      <c r="K13" s="779"/>
      <c r="L13" s="779"/>
      <c r="M13" s="779"/>
      <c r="N13" s="779"/>
      <c r="O13" s="779"/>
      <c r="P13" s="779"/>
      <c r="Q13" s="779"/>
      <c r="R13" s="779"/>
      <c r="S13" s="779"/>
      <c r="T13" s="779"/>
      <c r="U13" s="779"/>
      <c r="V13" s="779"/>
      <c r="W13" s="779"/>
      <c r="X13" s="779"/>
      <c r="Y13" s="779"/>
      <c r="Z13" s="1792"/>
      <c r="AA13" s="779"/>
      <c r="AB13" s="779"/>
      <c r="AC13" s="779"/>
      <c r="AE13" s="769" t="s">
        <v>706</v>
      </c>
    </row>
    <row r="14" spans="1:45" ht="12" hidden="1" customHeight="1">
      <c r="A14" s="779"/>
      <c r="B14" s="779"/>
      <c r="C14" s="779"/>
      <c r="D14" s="779"/>
      <c r="E14" s="779"/>
      <c r="F14" s="779"/>
      <c r="G14" s="779"/>
      <c r="H14" s="779"/>
      <c r="I14" s="779"/>
      <c r="J14" s="779"/>
      <c r="K14" s="779"/>
      <c r="L14" s="779"/>
      <c r="M14" s="779"/>
      <c r="N14" s="779"/>
      <c r="O14" s="779"/>
      <c r="P14" s="779"/>
      <c r="Q14" s="779"/>
      <c r="R14" s="779"/>
      <c r="S14" s="779"/>
      <c r="T14" s="779"/>
      <c r="U14" s="779"/>
      <c r="V14" s="779"/>
      <c r="W14" s="779"/>
      <c r="X14" s="779"/>
      <c r="Y14" s="779"/>
      <c r="Z14" s="1792"/>
      <c r="AA14" s="779"/>
      <c r="AB14" s="779"/>
      <c r="AC14" s="779"/>
      <c r="AE14" s="769" t="s">
        <v>707</v>
      </c>
    </row>
    <row r="15" spans="1:45" ht="15" hidden="1" customHeight="1">
      <c r="A15" s="779"/>
      <c r="B15" s="779"/>
      <c r="C15" s="779"/>
      <c r="D15" s="779"/>
      <c r="E15" s="779"/>
      <c r="F15" s="779"/>
      <c r="G15" s="779"/>
      <c r="H15" s="779"/>
      <c r="I15" s="779"/>
      <c r="J15" s="779"/>
      <c r="K15" s="779"/>
      <c r="L15" s="779"/>
      <c r="M15" s="779"/>
      <c r="N15" s="779"/>
      <c r="O15" s="779"/>
      <c r="P15" s="779"/>
      <c r="Q15" s="779"/>
      <c r="R15" s="779"/>
      <c r="S15" s="779"/>
      <c r="T15" s="779"/>
      <c r="U15" s="779"/>
      <c r="V15" s="779"/>
      <c r="W15" s="779"/>
      <c r="X15" s="779"/>
      <c r="Y15" s="779"/>
      <c r="Z15" s="1792"/>
      <c r="AA15" s="779"/>
      <c r="AB15" s="779"/>
      <c r="AC15" s="779"/>
      <c r="AE15" s="769" t="s">
        <v>708</v>
      </c>
    </row>
    <row r="16" spans="1:45" ht="15" hidden="1" customHeight="1">
      <c r="A16" s="779"/>
      <c r="B16" s="779"/>
      <c r="C16" s="779"/>
      <c r="D16" s="779"/>
      <c r="E16" s="779"/>
      <c r="F16" s="779"/>
      <c r="G16" s="779"/>
      <c r="H16" s="779"/>
      <c r="I16" s="779"/>
      <c r="J16" s="779"/>
      <c r="K16" s="779"/>
      <c r="L16" s="779"/>
      <c r="M16" s="779"/>
      <c r="N16" s="779"/>
      <c r="O16" s="779"/>
      <c r="P16" s="779"/>
      <c r="Q16" s="779"/>
      <c r="R16" s="779"/>
      <c r="S16" s="779"/>
      <c r="T16" s="779"/>
      <c r="U16" s="779"/>
      <c r="V16" s="779"/>
      <c r="W16" s="779"/>
      <c r="X16" s="779"/>
      <c r="Y16" s="779"/>
      <c r="Z16" s="1792"/>
      <c r="AA16" s="779"/>
      <c r="AB16" s="1792"/>
      <c r="AC16" s="779"/>
      <c r="AE16" s="769" t="s">
        <v>709</v>
      </c>
    </row>
    <row r="17" spans="1:55" ht="15" hidden="1" customHeight="1">
      <c r="A17" s="779"/>
      <c r="B17" s="779"/>
      <c r="C17" s="779"/>
      <c r="D17" s="779"/>
      <c r="E17" s="779"/>
      <c r="F17" s="779"/>
      <c r="G17" s="779"/>
      <c r="H17" s="779"/>
      <c r="I17" s="779"/>
      <c r="J17" s="779"/>
      <c r="K17" s="779"/>
      <c r="L17" s="779"/>
      <c r="M17" s="779"/>
      <c r="N17" s="779"/>
      <c r="O17" s="779"/>
      <c r="P17" s="779"/>
      <c r="Q17" s="779"/>
      <c r="R17" s="779"/>
      <c r="S17" s="779"/>
      <c r="T17" s="779"/>
      <c r="U17" s="779"/>
      <c r="V17" s="779"/>
      <c r="W17" s="779"/>
      <c r="X17" s="779"/>
      <c r="Y17" s="779"/>
      <c r="Z17" s="1792"/>
      <c r="AA17" s="779"/>
      <c r="AB17" s="1792"/>
      <c r="AC17" s="779"/>
      <c r="AE17" s="769" t="s">
        <v>710</v>
      </c>
    </row>
    <row r="18" spans="1:55" ht="15" hidden="1" customHeight="1">
      <c r="A18" s="779"/>
      <c r="B18" s="779"/>
      <c r="C18" s="779"/>
      <c r="D18" s="779"/>
      <c r="E18" s="779"/>
      <c r="F18" s="779"/>
      <c r="G18" s="779"/>
      <c r="H18" s="779"/>
      <c r="I18" s="779"/>
      <c r="J18" s="779"/>
      <c r="K18" s="779"/>
      <c r="L18" s="779"/>
      <c r="M18" s="779"/>
      <c r="N18" s="779"/>
      <c r="O18" s="779"/>
      <c r="P18" s="779"/>
      <c r="Q18" s="779"/>
      <c r="R18" s="779"/>
      <c r="S18" s="779"/>
      <c r="T18" s="779"/>
      <c r="U18" s="779"/>
      <c r="V18" s="779"/>
      <c r="W18" s="779"/>
      <c r="X18" s="779"/>
      <c r="Y18" s="779"/>
      <c r="Z18" s="1792"/>
      <c r="AA18" s="779"/>
      <c r="AB18" s="1792"/>
      <c r="AC18" s="779"/>
      <c r="AE18" s="769" t="s">
        <v>711</v>
      </c>
    </row>
    <row r="19" spans="1:55" ht="15" hidden="1" customHeight="1">
      <c r="A19" s="779"/>
      <c r="B19" s="779"/>
      <c r="C19" s="779"/>
      <c r="D19" s="779"/>
      <c r="E19" s="779"/>
      <c r="F19" s="779"/>
      <c r="G19" s="779"/>
      <c r="H19" s="779"/>
      <c r="I19" s="779"/>
      <c r="J19" s="779"/>
      <c r="K19" s="779"/>
      <c r="L19" s="779"/>
      <c r="M19" s="779"/>
      <c r="N19" s="779"/>
      <c r="O19" s="779"/>
      <c r="P19" s="779"/>
      <c r="Q19" s="779"/>
      <c r="R19" s="779"/>
      <c r="S19" s="779"/>
      <c r="T19" s="779"/>
      <c r="U19" s="779"/>
      <c r="V19" s="779"/>
      <c r="W19" s="779"/>
      <c r="X19" s="779"/>
      <c r="Y19" s="779"/>
      <c r="Z19" s="1792"/>
      <c r="AA19" s="779"/>
      <c r="AB19" s="1792"/>
      <c r="AC19" s="779"/>
      <c r="AE19" s="769" t="s">
        <v>712</v>
      </c>
    </row>
    <row r="20" spans="1:55" ht="15" hidden="1" customHeight="1">
      <c r="A20" s="779"/>
      <c r="B20" s="779"/>
      <c r="C20" s="779"/>
      <c r="D20" s="779"/>
      <c r="E20" s="779"/>
      <c r="F20" s="779"/>
      <c r="G20" s="779"/>
      <c r="H20" s="779"/>
      <c r="I20" s="779"/>
      <c r="J20" s="779"/>
      <c r="K20" s="779"/>
      <c r="L20" s="779"/>
      <c r="M20" s="779"/>
      <c r="N20" s="779"/>
      <c r="O20" s="779"/>
      <c r="P20" s="779"/>
      <c r="Q20" s="779"/>
      <c r="R20" s="779"/>
      <c r="S20" s="779"/>
      <c r="T20" s="779"/>
      <c r="U20" s="779"/>
      <c r="V20" s="779"/>
      <c r="W20" s="779"/>
      <c r="X20" s="779"/>
      <c r="Y20" s="779"/>
      <c r="Z20" s="1792"/>
      <c r="AA20" s="779"/>
      <c r="AB20" s="1792"/>
      <c r="AC20" s="779"/>
      <c r="AE20" s="1060" t="s">
        <v>713</v>
      </c>
      <c r="AM20" s="769" t="s">
        <v>714</v>
      </c>
      <c r="AN20" s="769" t="s">
        <v>715</v>
      </c>
      <c r="AS20" s="769" t="s">
        <v>716</v>
      </c>
    </row>
    <row r="21" spans="1:55" ht="15" hidden="1" customHeight="1">
      <c r="A21" s="779"/>
      <c r="B21" s="779"/>
      <c r="C21" s="779"/>
      <c r="D21" s="779"/>
      <c r="E21" s="779"/>
      <c r="F21" s="779"/>
      <c r="G21" s="779"/>
      <c r="H21" s="779"/>
      <c r="I21" s="779"/>
      <c r="J21" s="779"/>
      <c r="K21" s="779"/>
      <c r="L21" s="779"/>
      <c r="M21" s="779"/>
      <c r="N21" s="779"/>
      <c r="O21" s="779"/>
      <c r="P21" s="779"/>
      <c r="Q21" s="779"/>
      <c r="R21" s="779"/>
      <c r="S21" s="779"/>
      <c r="T21" s="779"/>
      <c r="U21" s="779"/>
      <c r="V21" s="779"/>
      <c r="W21" s="779"/>
      <c r="X21" s="779"/>
      <c r="Y21" s="779"/>
      <c r="Z21" s="1792"/>
      <c r="AA21" s="779"/>
      <c r="AB21" s="1792"/>
      <c r="AC21" s="779"/>
    </row>
    <row r="22" spans="1:55" ht="31.5" hidden="1" customHeight="1">
      <c r="A22" s="779"/>
      <c r="B22" s="779"/>
      <c r="C22" s="779"/>
      <c r="D22" s="779"/>
      <c r="E22" s="779"/>
      <c r="F22" s="779"/>
      <c r="G22" s="779"/>
      <c r="H22" s="779"/>
      <c r="I22" s="779"/>
      <c r="J22" s="779"/>
      <c r="K22" s="779"/>
      <c r="L22" s="779"/>
      <c r="M22" s="779"/>
      <c r="N22" s="779"/>
      <c r="O22" s="779"/>
      <c r="P22" s="779"/>
      <c r="Q22" s="779"/>
      <c r="R22" s="779"/>
      <c r="S22" s="779"/>
      <c r="T22" s="779"/>
      <c r="U22" s="779"/>
      <c r="V22" s="779"/>
      <c r="W22" s="779"/>
      <c r="X22" s="779"/>
      <c r="Y22" s="779"/>
      <c r="Z22" s="1792"/>
      <c r="AA22" s="779"/>
      <c r="AB22" s="1792"/>
      <c r="AC22" s="779"/>
    </row>
    <row r="23" spans="1:55" ht="25.5" customHeight="1">
      <c r="A23" s="779"/>
      <c r="B23" s="779"/>
      <c r="C23" s="779"/>
      <c r="D23" s="779"/>
      <c r="E23" s="779"/>
      <c r="F23" s="779"/>
      <c r="G23" s="779"/>
      <c r="H23" s="779"/>
      <c r="I23" s="779"/>
      <c r="J23" s="779"/>
      <c r="K23" s="779"/>
      <c r="L23" s="779"/>
      <c r="M23" s="779"/>
      <c r="N23" s="779"/>
      <c r="O23" s="779"/>
      <c r="P23" s="779"/>
      <c r="Q23" s="779"/>
      <c r="R23" s="779"/>
      <c r="S23" s="779"/>
      <c r="T23" s="779"/>
      <c r="U23" s="779"/>
      <c r="V23" s="779"/>
      <c r="W23" s="779"/>
      <c r="X23" s="779"/>
      <c r="Y23" s="779"/>
      <c r="Z23" s="1792"/>
      <c r="AA23" s="779"/>
      <c r="AB23" s="1075" t="s">
        <v>1714</v>
      </c>
      <c r="AC23" s="779"/>
      <c r="AE23" s="1696" t="s">
        <v>1498</v>
      </c>
    </row>
    <row r="24" spans="1:55" ht="24" customHeight="1">
      <c r="A24" s="779"/>
      <c r="B24" s="1480"/>
      <c r="C24" s="1480"/>
      <c r="D24" s="1480"/>
      <c r="E24" s="2377">
        <f>AF27</f>
        <v>2015</v>
      </c>
      <c r="F24" s="2377"/>
      <c r="G24" s="2206">
        <f>AH27</f>
        <v>2016</v>
      </c>
      <c r="H24" s="2206"/>
      <c r="I24" s="2206">
        <f>AJ27</f>
        <v>2017</v>
      </c>
      <c r="J24" s="2206"/>
      <c r="K24" s="2206">
        <f>AL27</f>
        <v>2018</v>
      </c>
      <c r="L24" s="2206"/>
      <c r="M24" s="2206">
        <f>AN27</f>
        <v>2019</v>
      </c>
      <c r="N24" s="2206"/>
      <c r="O24" s="2206">
        <f>AP27</f>
        <v>2020</v>
      </c>
      <c r="P24" s="2206"/>
      <c r="Q24" s="2206">
        <f>AR27</f>
        <v>2021</v>
      </c>
      <c r="R24" s="2206"/>
      <c r="S24" s="2206">
        <f>AT27</f>
        <v>2022</v>
      </c>
      <c r="T24" s="2206"/>
      <c r="U24" s="2206">
        <f>AV27</f>
        <v>2023</v>
      </c>
      <c r="V24" s="2206"/>
      <c r="W24" s="2206">
        <f>AX27</f>
        <v>2024</v>
      </c>
      <c r="X24" s="2206"/>
      <c r="Y24" s="2306">
        <f>AZ27</f>
        <v>2025</v>
      </c>
      <c r="Z24" s="2200"/>
      <c r="AA24" s="2371" t="s">
        <v>558</v>
      </c>
      <c r="AB24" s="2372"/>
      <c r="AC24" s="779"/>
      <c r="AE24" s="2012" t="s">
        <v>1499</v>
      </c>
    </row>
    <row r="25" spans="1:55" ht="18.95" customHeight="1">
      <c r="A25" s="779"/>
      <c r="B25" s="1480"/>
      <c r="C25" s="1480"/>
      <c r="D25" s="1480"/>
      <c r="E25" s="2377"/>
      <c r="F25" s="2377"/>
      <c r="G25" s="2206"/>
      <c r="H25" s="2206"/>
      <c r="I25" s="2206"/>
      <c r="J25" s="2206"/>
      <c r="K25" s="2206"/>
      <c r="L25" s="2206"/>
      <c r="M25" s="2206"/>
      <c r="N25" s="2206"/>
      <c r="O25" s="2206"/>
      <c r="P25" s="2206"/>
      <c r="Q25" s="2206"/>
      <c r="R25" s="2206"/>
      <c r="S25" s="2206"/>
      <c r="T25" s="2206"/>
      <c r="U25" s="2206"/>
      <c r="V25" s="2206"/>
      <c r="W25" s="2206"/>
      <c r="X25" s="2206"/>
      <c r="Y25" s="2306"/>
      <c r="Z25" s="2200"/>
      <c r="AA25" s="2373" t="s">
        <v>509</v>
      </c>
      <c r="AB25" s="2374"/>
      <c r="AC25" s="779"/>
      <c r="AE25" s="1061" t="s">
        <v>717</v>
      </c>
      <c r="AF25" s="1062" t="s">
        <v>718</v>
      </c>
      <c r="AG25" s="1063"/>
      <c r="AH25" s="1063"/>
      <c r="AI25" s="1063"/>
      <c r="AJ25" s="1063"/>
      <c r="AK25" s="1063"/>
      <c r="AL25" s="1063"/>
      <c r="AM25" s="1063" t="s">
        <v>719</v>
      </c>
      <c r="AN25" s="1063"/>
      <c r="AO25" s="1063"/>
      <c r="AP25" s="1063"/>
      <c r="AQ25" s="1064"/>
    </row>
    <row r="26" spans="1:55" ht="13.5" customHeight="1" thickBot="1">
      <c r="A26" s="779"/>
      <c r="B26" s="2398" t="s">
        <v>560</v>
      </c>
      <c r="C26" s="2398"/>
      <c r="D26" s="2398"/>
      <c r="E26" s="1901" t="s">
        <v>561</v>
      </c>
      <c r="F26" s="1920" t="s">
        <v>562</v>
      </c>
      <c r="G26" s="1937" t="s">
        <v>561</v>
      </c>
      <c r="H26" s="1902" t="s">
        <v>563</v>
      </c>
      <c r="I26" s="1919" t="s">
        <v>561</v>
      </c>
      <c r="J26" s="1920" t="s">
        <v>563</v>
      </c>
      <c r="K26" s="1919" t="s">
        <v>561</v>
      </c>
      <c r="L26" s="1920" t="s">
        <v>563</v>
      </c>
      <c r="M26" s="1919" t="s">
        <v>561</v>
      </c>
      <c r="N26" s="1920" t="s">
        <v>563</v>
      </c>
      <c r="O26" s="1919" t="s">
        <v>561</v>
      </c>
      <c r="P26" s="1920" t="s">
        <v>563</v>
      </c>
      <c r="Q26" s="1937" t="s">
        <v>561</v>
      </c>
      <c r="R26" s="1920" t="s">
        <v>563</v>
      </c>
      <c r="S26" s="1919" t="s">
        <v>561</v>
      </c>
      <c r="T26" s="1937" t="s">
        <v>563</v>
      </c>
      <c r="U26" s="1919" t="s">
        <v>561</v>
      </c>
      <c r="V26" s="1920" t="s">
        <v>563</v>
      </c>
      <c r="W26" s="1937" t="s">
        <v>561</v>
      </c>
      <c r="X26" s="1920" t="s">
        <v>563</v>
      </c>
      <c r="Y26" s="1919" t="s">
        <v>561</v>
      </c>
      <c r="Z26" s="1937" t="s">
        <v>563</v>
      </c>
      <c r="AA26" s="1919" t="s">
        <v>561</v>
      </c>
      <c r="AB26" s="1902" t="s">
        <v>563</v>
      </c>
      <c r="AC26" s="779"/>
    </row>
    <row r="27" spans="1:55" ht="13.5" customHeight="1">
      <c r="A27" s="779"/>
      <c r="B27" s="2397" t="s">
        <v>512</v>
      </c>
      <c r="C27" s="2397"/>
      <c r="D27" s="2397"/>
      <c r="E27" s="1903" t="s">
        <v>23</v>
      </c>
      <c r="F27" s="1922" t="s">
        <v>24</v>
      </c>
      <c r="G27" s="1938" t="s">
        <v>168</v>
      </c>
      <c r="H27" s="1904" t="s">
        <v>169</v>
      </c>
      <c r="I27" s="1921" t="s">
        <v>168</v>
      </c>
      <c r="J27" s="1922" t="s">
        <v>24</v>
      </c>
      <c r="K27" s="1921" t="s">
        <v>168</v>
      </c>
      <c r="L27" s="1922" t="s">
        <v>169</v>
      </c>
      <c r="M27" s="1921" t="s">
        <v>168</v>
      </c>
      <c r="N27" s="1922" t="s">
        <v>169</v>
      </c>
      <c r="O27" s="1921" t="s">
        <v>168</v>
      </c>
      <c r="P27" s="1922" t="s">
        <v>169</v>
      </c>
      <c r="Q27" s="1938" t="s">
        <v>168</v>
      </c>
      <c r="R27" s="1922" t="s">
        <v>169</v>
      </c>
      <c r="S27" s="1921" t="s">
        <v>168</v>
      </c>
      <c r="T27" s="1938" t="s">
        <v>169</v>
      </c>
      <c r="U27" s="1921" t="s">
        <v>168</v>
      </c>
      <c r="V27" s="1922" t="s">
        <v>169</v>
      </c>
      <c r="W27" s="1938" t="s">
        <v>168</v>
      </c>
      <c r="X27" s="1922" t="s">
        <v>169</v>
      </c>
      <c r="Y27" s="1921" t="s">
        <v>168</v>
      </c>
      <c r="Z27" s="1938" t="s">
        <v>169</v>
      </c>
      <c r="AA27" s="1921" t="s">
        <v>168</v>
      </c>
      <c r="AB27" s="1904" t="s">
        <v>169</v>
      </c>
      <c r="AC27" s="779"/>
      <c r="AE27" s="797"/>
      <c r="AF27" s="2368">
        <v>2015</v>
      </c>
      <c r="AG27" s="2369">
        <v>2015</v>
      </c>
      <c r="AH27" s="2368">
        <f t="shared" ref="AH27:BA27" si="2">AF27+1</f>
        <v>2016</v>
      </c>
      <c r="AI27" s="2369">
        <f t="shared" si="2"/>
        <v>2016</v>
      </c>
      <c r="AJ27" s="2368">
        <f t="shared" si="2"/>
        <v>2017</v>
      </c>
      <c r="AK27" s="2369">
        <f t="shared" si="2"/>
        <v>2017</v>
      </c>
      <c r="AL27" s="2368">
        <f t="shared" si="2"/>
        <v>2018</v>
      </c>
      <c r="AM27" s="2369">
        <f t="shared" si="2"/>
        <v>2018</v>
      </c>
      <c r="AN27" s="2368">
        <f t="shared" si="2"/>
        <v>2019</v>
      </c>
      <c r="AO27" s="2369">
        <f t="shared" si="2"/>
        <v>2019</v>
      </c>
      <c r="AP27" s="2368">
        <f t="shared" si="2"/>
        <v>2020</v>
      </c>
      <c r="AQ27" s="2369">
        <f t="shared" si="2"/>
        <v>2020</v>
      </c>
      <c r="AR27" s="2368">
        <f t="shared" si="2"/>
        <v>2021</v>
      </c>
      <c r="AS27" s="2369">
        <f t="shared" si="2"/>
        <v>2021</v>
      </c>
      <c r="AT27" s="2368">
        <f t="shared" si="2"/>
        <v>2022</v>
      </c>
      <c r="AU27" s="2369">
        <f t="shared" si="2"/>
        <v>2022</v>
      </c>
      <c r="AV27" s="2368">
        <f t="shared" si="2"/>
        <v>2023</v>
      </c>
      <c r="AW27" s="2369">
        <f t="shared" si="2"/>
        <v>2023</v>
      </c>
      <c r="AX27" s="2368">
        <f t="shared" si="2"/>
        <v>2024</v>
      </c>
      <c r="AY27" s="2370">
        <f t="shared" si="2"/>
        <v>2024</v>
      </c>
      <c r="AZ27" s="2330">
        <f t="shared" si="2"/>
        <v>2025</v>
      </c>
      <c r="BA27" s="2333">
        <f t="shared" si="2"/>
        <v>2025</v>
      </c>
      <c r="BB27" s="2319" t="s">
        <v>559</v>
      </c>
      <c r="BC27" s="2320"/>
    </row>
    <row r="28" spans="1:55" ht="18" customHeight="1">
      <c r="A28" s="779"/>
      <c r="B28" s="2365" t="s">
        <v>1484</v>
      </c>
      <c r="C28" s="2365"/>
      <c r="D28" s="2365"/>
      <c r="E28" s="2001">
        <f>IF(AF31=0,"-",INT(AF31/1000))</f>
        <v>190</v>
      </c>
      <c r="F28" s="2002">
        <f>IF(AG31=0,"-",AG31)</f>
        <v>42.4</v>
      </c>
      <c r="G28" s="1066">
        <f>IF(AH31=0,"-",INT(AH31/1000))</f>
        <v>199</v>
      </c>
      <c r="H28" s="2003">
        <f>IF(AI31=0,"-",AI31)</f>
        <v>44.6</v>
      </c>
      <c r="I28" s="2004">
        <f>IF(AJ31=0,"-",INT(AJ31/1000))</f>
        <v>188</v>
      </c>
      <c r="J28" s="2002">
        <f>IF(AK31=0,"-",AK31)</f>
        <v>42</v>
      </c>
      <c r="K28" s="2004">
        <f>IF(AL31=0,"-",INT(AL31/1000))</f>
        <v>187</v>
      </c>
      <c r="L28" s="2002">
        <f>IF(AM31=0,"-",AM31)</f>
        <v>41.699999999999996</v>
      </c>
      <c r="M28" s="2004">
        <f>IF(AN31=0,"-",INT(AN31/1000))</f>
        <v>186</v>
      </c>
      <c r="N28" s="2002">
        <f>IF(AO31=0,"-",AO31)</f>
        <v>43.7</v>
      </c>
      <c r="O28" s="2004">
        <f>IF(AP31=0,"-",INT(AP31/1000))</f>
        <v>167</v>
      </c>
      <c r="P28" s="2002">
        <f>IF(AQ31=0,"-",AQ31)</f>
        <v>42.3</v>
      </c>
      <c r="Q28" s="1066">
        <f>IF(AR31=0,"-",INT(AR31/1000))</f>
        <v>166</v>
      </c>
      <c r="R28" s="2002">
        <f>IF(AS31=0,"-",AS31)</f>
        <v>42.4</v>
      </c>
      <c r="S28" s="2004">
        <f>IF(AT31=0,"-",INT(AT31/1000))</f>
        <v>167</v>
      </c>
      <c r="T28" s="2005">
        <f>IF(AU31=0,"-",AU31)</f>
        <v>42.6</v>
      </c>
      <c r="U28" s="2004">
        <f>IF(AV31=0,"-",INT(AV31/1000))</f>
        <v>184</v>
      </c>
      <c r="V28" s="2002">
        <f>IF(AW31=0,"-",AW31)</f>
        <v>43.9</v>
      </c>
      <c r="W28" s="1066">
        <f>IF(AX31=0,"-",INT(AX31/1000))</f>
        <v>186</v>
      </c>
      <c r="X28" s="2002">
        <f>IF(AY31=0,"-",AY31)</f>
        <v>44.9</v>
      </c>
      <c r="Y28" s="2004">
        <f>IF(AZ31=0,"-",INT(AZ31/1000))</f>
        <v>200</v>
      </c>
      <c r="Z28" s="2005">
        <f>IF(BA31=0,"-",BA31)</f>
        <v>44.5</v>
      </c>
      <c r="AA28" s="2006">
        <f t="shared" ref="AA28:AB28" si="3">BB31</f>
        <v>0.50618534250121971</v>
      </c>
      <c r="AB28" s="2007">
        <f t="shared" si="3"/>
        <v>0.21000000000000013</v>
      </c>
      <c r="AC28" s="809"/>
      <c r="AD28" s="810"/>
      <c r="AE28" s="798"/>
      <c r="AF28" s="2329"/>
      <c r="AG28" s="2323"/>
      <c r="AH28" s="2329"/>
      <c r="AI28" s="2323"/>
      <c r="AJ28" s="2329"/>
      <c r="AK28" s="2323"/>
      <c r="AL28" s="2329"/>
      <c r="AM28" s="2323"/>
      <c r="AN28" s="2329"/>
      <c r="AO28" s="2323"/>
      <c r="AP28" s="2329"/>
      <c r="AQ28" s="2323"/>
      <c r="AR28" s="2329"/>
      <c r="AS28" s="2323"/>
      <c r="AT28" s="2329"/>
      <c r="AU28" s="2323"/>
      <c r="AV28" s="2329"/>
      <c r="AW28" s="2323"/>
      <c r="AX28" s="2329"/>
      <c r="AY28" s="2326"/>
      <c r="AZ28" s="2332"/>
      <c r="BA28" s="2326"/>
      <c r="BB28" s="2317" t="s">
        <v>5</v>
      </c>
      <c r="BC28" s="2318"/>
    </row>
    <row r="29" spans="1:55" ht="18" customHeight="1">
      <c r="A29" s="779"/>
      <c r="B29" s="2396" t="s">
        <v>1485</v>
      </c>
      <c r="C29" s="2396"/>
      <c r="D29" s="2396"/>
      <c r="E29" s="2009">
        <f>IF(AF32=0,"-",INT(AF32/1000))</f>
        <v>115</v>
      </c>
      <c r="F29" s="1939">
        <f>IF(AG32=0,"-",AG32)</f>
        <v>25.6</v>
      </c>
      <c r="G29" s="1065">
        <f>IF(AH32=0,"-",INT(AH32/1000))</f>
        <v>105</v>
      </c>
      <c r="H29" s="1942">
        <f>IF(AI32=0,"-",AI32)</f>
        <v>23.7</v>
      </c>
      <c r="I29" s="1944">
        <f>IF(AJ32=0,"-",INT(AJ32/1000))</f>
        <v>108</v>
      </c>
      <c r="J29" s="1939">
        <f>IF(AK32=0,"-",AK32)</f>
        <v>24.2</v>
      </c>
      <c r="K29" s="1944">
        <f>IF(AL32=0,"-",INT(AL32/1000))</f>
        <v>118</v>
      </c>
      <c r="L29" s="1939">
        <f>IF(AM32=0,"-",AM32)</f>
        <v>26.200000000000003</v>
      </c>
      <c r="M29" s="1944">
        <f>IF(AN32=0,"-",INT(AN32/1000))</f>
        <v>113</v>
      </c>
      <c r="N29" s="1939">
        <f>IF(AO32=0,"-",AO32)</f>
        <v>26.700000000000003</v>
      </c>
      <c r="O29" s="1944">
        <f>IF(AP32=0,"-",INT(AP32/1000))</f>
        <v>117</v>
      </c>
      <c r="P29" s="1939">
        <f>IF(AQ32=0,"-",AQ32)</f>
        <v>29.799999999999997</v>
      </c>
      <c r="Q29" s="1065">
        <f>IF(AR32=0,"-",INT(AR32/1000))</f>
        <v>122</v>
      </c>
      <c r="R29" s="1939">
        <f>IF(AS32=0,"-",AS32)</f>
        <v>31.2</v>
      </c>
      <c r="S29" s="1944">
        <f>IF(AT32=0,"-",INT(AT32/1000))</f>
        <v>133</v>
      </c>
      <c r="T29" s="1849">
        <f>IF(AU32=0,"-",AU32)</f>
        <v>33.900000000000006</v>
      </c>
      <c r="U29" s="1944">
        <f>IF(AV32=0,"-",INT(AV32/1000))</f>
        <v>139</v>
      </c>
      <c r="V29" s="1939">
        <f>IF(AW32=0,"-",AW32)</f>
        <v>33.300000000000004</v>
      </c>
      <c r="W29" s="1065">
        <f>IF(AX32=0,"-",INT(AX32/1000))</f>
        <v>140</v>
      </c>
      <c r="X29" s="1939">
        <f>IF(AY32=0,"-",AY32)</f>
        <v>33.800000000000004</v>
      </c>
      <c r="Y29" s="1944">
        <f>IF(AZ32=0,"-",INT(AZ32/1000))</f>
        <v>156</v>
      </c>
      <c r="Z29" s="1849">
        <f>IF(BA32=0,"-",BA32)</f>
        <v>34.799999999999997</v>
      </c>
      <c r="AA29" s="1946">
        <f t="shared" ref="AA29:AB31" si="4">BB32</f>
        <v>3.1220523278077561</v>
      </c>
      <c r="AB29" s="1947">
        <f t="shared" si="4"/>
        <v>0.9199999999999996</v>
      </c>
      <c r="AC29" s="809"/>
      <c r="AD29" s="810"/>
      <c r="AE29" s="798"/>
      <c r="AF29" s="804" t="s">
        <v>565</v>
      </c>
      <c r="AG29" s="805" t="s">
        <v>564</v>
      </c>
      <c r="AH29" s="804" t="s">
        <v>565</v>
      </c>
      <c r="AI29" s="805" t="s">
        <v>564</v>
      </c>
      <c r="AJ29" s="804" t="s">
        <v>565</v>
      </c>
      <c r="AK29" s="805" t="s">
        <v>564</v>
      </c>
      <c r="AL29" s="804" t="s">
        <v>565</v>
      </c>
      <c r="AM29" s="805" t="s">
        <v>564</v>
      </c>
      <c r="AN29" s="804" t="s">
        <v>565</v>
      </c>
      <c r="AO29" s="805" t="s">
        <v>564</v>
      </c>
      <c r="AP29" s="804" t="s">
        <v>565</v>
      </c>
      <c r="AQ29" s="805" t="s">
        <v>564</v>
      </c>
      <c r="AR29" s="804" t="s">
        <v>565</v>
      </c>
      <c r="AS29" s="805" t="s">
        <v>564</v>
      </c>
      <c r="AT29" s="804" t="s">
        <v>565</v>
      </c>
      <c r="AU29" s="805" t="s">
        <v>564</v>
      </c>
      <c r="AV29" s="804" t="s">
        <v>565</v>
      </c>
      <c r="AW29" s="805" t="s">
        <v>564</v>
      </c>
      <c r="AX29" s="804" t="s">
        <v>565</v>
      </c>
      <c r="AY29" s="806" t="s">
        <v>564</v>
      </c>
      <c r="AZ29" s="807" t="s">
        <v>565</v>
      </c>
      <c r="BA29" s="806" t="s">
        <v>564</v>
      </c>
      <c r="BB29" s="807" t="s">
        <v>565</v>
      </c>
      <c r="BC29" s="808" t="s">
        <v>564</v>
      </c>
    </row>
    <row r="30" spans="1:55" ht="18" customHeight="1">
      <c r="A30" s="779"/>
      <c r="B30" s="2008" t="s">
        <v>1260</v>
      </c>
      <c r="C30" s="2008"/>
      <c r="D30" s="2008"/>
      <c r="E30" s="2001">
        <f>INT(AF33/1000)</f>
        <v>143</v>
      </c>
      <c r="F30" s="2002">
        <f>AG33</f>
        <v>32</v>
      </c>
      <c r="G30" s="1066">
        <f>INT(AH33/1000)</f>
        <v>141</v>
      </c>
      <c r="H30" s="2003">
        <f>AI33-0.1</f>
        <v>31.7</v>
      </c>
      <c r="I30" s="2004">
        <f>IF(AJ33=0,"-",INT(AJ33/1000))</f>
        <v>151</v>
      </c>
      <c r="J30" s="2002">
        <f>AK33</f>
        <v>33.800000000000004</v>
      </c>
      <c r="K30" s="2004">
        <f>IF(AL33=0,"-",INT(AL33/1000))</f>
        <v>144</v>
      </c>
      <c r="L30" s="2002">
        <f>AM33+0.1</f>
        <v>32.1</v>
      </c>
      <c r="M30" s="2004">
        <f>IF(AN33=0,"-",INT(AN33/1000))</f>
        <v>126</v>
      </c>
      <c r="N30" s="2002">
        <f>AO33</f>
        <v>29.599999999999998</v>
      </c>
      <c r="O30" s="2004">
        <f>IF(AP33=0,"-",INT(AP33/1000))</f>
        <v>110</v>
      </c>
      <c r="P30" s="2002">
        <f>AQ33</f>
        <v>27.900000000000002</v>
      </c>
      <c r="Q30" s="1066">
        <f>IF(AR33=0,"-",INT(AR33/1000))</f>
        <v>104</v>
      </c>
      <c r="R30" s="2002">
        <f>AS33</f>
        <v>26.400000000000002</v>
      </c>
      <c r="S30" s="2004">
        <f>IF(AT33=0,"-",INT(AT33/1000))</f>
        <v>92</v>
      </c>
      <c r="T30" s="2005">
        <f>AU33</f>
        <v>23.5</v>
      </c>
      <c r="U30" s="2004">
        <f>IF(AV33=0,"-",INT(AV33/1000))</f>
        <v>96</v>
      </c>
      <c r="V30" s="2002">
        <f>AW33-0.1</f>
        <v>22.8</v>
      </c>
      <c r="W30" s="1066">
        <f>IF(AX33=0,"-",INT(AX33/1000))</f>
        <v>88</v>
      </c>
      <c r="X30" s="2002">
        <f>AY33</f>
        <v>21.3</v>
      </c>
      <c r="Y30" s="2004">
        <f>IF(AZ33=0,"-",INT(AZ33/1000))</f>
        <v>93</v>
      </c>
      <c r="Z30" s="2005">
        <f>BA33</f>
        <v>20.7</v>
      </c>
      <c r="AA30" s="2006">
        <f t="shared" si="4"/>
        <v>-4.2508740067829898</v>
      </c>
      <c r="AB30" s="2007">
        <f t="shared" si="4"/>
        <v>-1.1300000000000001</v>
      </c>
      <c r="AC30" s="809"/>
      <c r="AD30" s="810"/>
      <c r="AE30" s="798"/>
      <c r="AF30" s="804"/>
      <c r="AG30" s="805"/>
      <c r="AH30" s="804"/>
      <c r="AI30" s="805"/>
      <c r="AJ30" s="804"/>
      <c r="AK30" s="805"/>
      <c r="AL30" s="804"/>
      <c r="AM30" s="805"/>
      <c r="AN30" s="804"/>
      <c r="AO30" s="805"/>
      <c r="AP30" s="804"/>
      <c r="AQ30" s="805"/>
      <c r="AR30" s="804"/>
      <c r="AS30" s="805"/>
      <c r="AT30" s="804"/>
      <c r="AU30" s="805"/>
      <c r="AV30" s="804"/>
      <c r="AW30" s="805"/>
      <c r="AX30" s="804"/>
      <c r="AY30" s="806"/>
      <c r="AZ30" s="807"/>
      <c r="BA30" s="806"/>
      <c r="BB30" s="807"/>
      <c r="BC30" s="808"/>
    </row>
    <row r="31" spans="1:55" ht="12" customHeight="1">
      <c r="A31" s="779"/>
      <c r="B31" s="2366" t="s">
        <v>1261</v>
      </c>
      <c r="C31" s="2367"/>
      <c r="D31" s="2367"/>
      <c r="E31" s="1940">
        <f>INT(AF34/1000)</f>
        <v>449</v>
      </c>
      <c r="F31" s="1941">
        <f>AG34</f>
        <v>100</v>
      </c>
      <c r="G31" s="1076">
        <f>INT(AH34/1000)</f>
        <v>446</v>
      </c>
      <c r="H31" s="1943">
        <f>AI34</f>
        <v>100</v>
      </c>
      <c r="I31" s="1945">
        <f>INT(AJ34/1000)</f>
        <v>448</v>
      </c>
      <c r="J31" s="1941">
        <f>AK34</f>
        <v>100</v>
      </c>
      <c r="K31" s="1945">
        <f>INT(AL34/1000)</f>
        <v>450</v>
      </c>
      <c r="L31" s="1941">
        <f>AM34</f>
        <v>100</v>
      </c>
      <c r="M31" s="1945">
        <f>INT(AN34/1000)</f>
        <v>426</v>
      </c>
      <c r="N31" s="1941">
        <f>AO34</f>
        <v>100</v>
      </c>
      <c r="O31" s="1945">
        <f>INT(AP34/1000)</f>
        <v>395</v>
      </c>
      <c r="P31" s="1941">
        <f>AQ34</f>
        <v>100</v>
      </c>
      <c r="Q31" s="1076">
        <f>INT(AR34/1000)</f>
        <v>393</v>
      </c>
      <c r="R31" s="1941">
        <f>AS34</f>
        <v>100</v>
      </c>
      <c r="S31" s="1945">
        <f>INT(AT34/1000)</f>
        <v>392</v>
      </c>
      <c r="T31" s="1850">
        <f>AU34</f>
        <v>100</v>
      </c>
      <c r="U31" s="1945">
        <f>INT(AV34/1000)</f>
        <v>420</v>
      </c>
      <c r="V31" s="1941">
        <f>AW34</f>
        <v>100</v>
      </c>
      <c r="W31" s="1076">
        <f>INT(AX34/1000)</f>
        <v>416</v>
      </c>
      <c r="X31" s="1941">
        <f>AY34</f>
        <v>100</v>
      </c>
      <c r="Y31" s="1945">
        <f>INT(AZ34/1000)</f>
        <v>449</v>
      </c>
      <c r="Z31" s="1850">
        <f>BA34</f>
        <v>100</v>
      </c>
      <c r="AA31" s="1948">
        <f t="shared" si="4"/>
        <v>1.3816107148634238E-2</v>
      </c>
      <c r="AB31" s="1949" t="str">
        <f t="shared" si="4"/>
        <v>-</v>
      </c>
      <c r="AC31" s="809"/>
      <c r="AE31" s="1999" t="s">
        <v>1483</v>
      </c>
      <c r="AF31" s="819">
        <v>190433</v>
      </c>
      <c r="AG31" s="820">
        <f>ROUND(AF31/AF$34,3)*100</f>
        <v>42.4</v>
      </c>
      <c r="AH31" s="819">
        <v>199232</v>
      </c>
      <c r="AI31" s="820">
        <f>ROUND(AH31/AH$34,3)*100</f>
        <v>44.6</v>
      </c>
      <c r="AJ31" s="819">
        <v>188613</v>
      </c>
      <c r="AK31" s="820">
        <f>ROUND(AJ31/AJ$34,3)*100</f>
        <v>42</v>
      </c>
      <c r="AL31" s="819">
        <v>187959</v>
      </c>
      <c r="AM31" s="820">
        <f>ROUND(AL31/AL$34,3)*100</f>
        <v>41.699999999999996</v>
      </c>
      <c r="AN31" s="819">
        <v>186237</v>
      </c>
      <c r="AO31" s="820">
        <f>ROUND(AN31/AN$34,3)*100</f>
        <v>43.7</v>
      </c>
      <c r="AP31" s="819">
        <v>167314</v>
      </c>
      <c r="AQ31" s="820">
        <f>ROUND(AP31/AP$34,3)*100</f>
        <v>42.3</v>
      </c>
      <c r="AR31" s="819">
        <v>166808</v>
      </c>
      <c r="AS31" s="820">
        <f>ROUND(AR31/AR$34,3)*100</f>
        <v>42.4</v>
      </c>
      <c r="AT31" s="819">
        <v>167314</v>
      </c>
      <c r="AU31" s="820">
        <f>ROUND(AT31/AT$34,3)*100</f>
        <v>42.6</v>
      </c>
      <c r="AV31" s="819">
        <v>184570</v>
      </c>
      <c r="AW31" s="820">
        <f>ROUND(AV31/AV$34,3)*100</f>
        <v>43.9</v>
      </c>
      <c r="AX31" s="819">
        <v>186942</v>
      </c>
      <c r="AY31" s="820">
        <f>ROUND(AX31/AX$34,3)*100</f>
        <v>44.9</v>
      </c>
      <c r="AZ31" s="821">
        <v>200295</v>
      </c>
      <c r="BA31" s="820">
        <f>ROUND(AZ31/AZ$34,3)*100</f>
        <v>44.5</v>
      </c>
      <c r="BB31" s="1067">
        <f>((AZ31/AF31)^(1/10)-1)*100</f>
        <v>0.50618534250121971</v>
      </c>
      <c r="BC31" s="1068">
        <f>(BA31-AG31)/10</f>
        <v>0.21000000000000013</v>
      </c>
    </row>
    <row r="32" spans="1:55" ht="9.75" customHeight="1">
      <c r="A32" s="779"/>
      <c r="B32" s="1786" t="s">
        <v>720</v>
      </c>
      <c r="C32" s="668"/>
      <c r="D32" s="668"/>
      <c r="E32" s="779"/>
      <c r="F32" s="779"/>
      <c r="G32" s="779"/>
      <c r="H32" s="779"/>
      <c r="I32" s="779"/>
      <c r="J32" s="779"/>
      <c r="K32" s="779"/>
      <c r="L32" s="779"/>
      <c r="M32" s="779"/>
      <c r="N32" s="779"/>
      <c r="O32" s="779"/>
      <c r="P32" s="779"/>
      <c r="Q32" s="779"/>
      <c r="R32" s="779"/>
      <c r="S32" s="779"/>
      <c r="T32" s="779"/>
      <c r="U32" s="779"/>
      <c r="V32" s="779"/>
      <c r="W32" s="779"/>
      <c r="X32" s="779"/>
      <c r="Y32" s="779"/>
      <c r="Z32" s="779"/>
      <c r="AA32" s="779"/>
      <c r="AB32" s="779"/>
      <c r="AC32" s="779"/>
      <c r="AE32" s="2000" t="s">
        <v>721</v>
      </c>
      <c r="AF32" s="819">
        <v>115029</v>
      </c>
      <c r="AG32" s="820">
        <f>ROUND(AF32/AF$34,3)*100</f>
        <v>25.6</v>
      </c>
      <c r="AH32" s="819">
        <v>105753</v>
      </c>
      <c r="AI32" s="820">
        <f>ROUND(AH32/AH$34,3)*100</f>
        <v>23.7</v>
      </c>
      <c r="AJ32" s="819">
        <v>108667</v>
      </c>
      <c r="AK32" s="820">
        <f>ROUND(AJ32/AJ$34,3)*100</f>
        <v>24.2</v>
      </c>
      <c r="AL32" s="819">
        <v>118272</v>
      </c>
      <c r="AM32" s="820">
        <f>ROUND(AL32/AL$34,3)*100</f>
        <v>26.200000000000003</v>
      </c>
      <c r="AN32" s="819">
        <v>113965</v>
      </c>
      <c r="AO32" s="820">
        <f>ROUND(AN32/AN$34,3)*100</f>
        <v>26.700000000000003</v>
      </c>
      <c r="AP32" s="819">
        <v>117961</v>
      </c>
      <c r="AQ32" s="820">
        <f>ROUND(AP32/AP$34,3)*100</f>
        <v>29.799999999999997</v>
      </c>
      <c r="AR32" s="819">
        <v>122777</v>
      </c>
      <c r="AS32" s="820">
        <f>ROUND(AR32/AR$34,3)*100</f>
        <v>31.2</v>
      </c>
      <c r="AT32" s="819">
        <v>133333</v>
      </c>
      <c r="AU32" s="820">
        <f>ROUND(AT32/AT$34,3)*100</f>
        <v>33.900000000000006</v>
      </c>
      <c r="AV32" s="819">
        <v>139978</v>
      </c>
      <c r="AW32" s="820">
        <f>ROUND(AV32/AV$34,3)*100</f>
        <v>33.300000000000004</v>
      </c>
      <c r="AX32" s="819">
        <v>140770</v>
      </c>
      <c r="AY32" s="820">
        <f>ROUND(AX32/AX$34,3)*100</f>
        <v>33.800000000000004</v>
      </c>
      <c r="AZ32" s="821">
        <v>156431</v>
      </c>
      <c r="BA32" s="820">
        <f>ROUND(AZ32/AZ$34,3)*100</f>
        <v>34.799999999999997</v>
      </c>
      <c r="BB32" s="1069">
        <f>((AZ32/AF32)^(1/10)-1)*100</f>
        <v>3.1220523278077561</v>
      </c>
      <c r="BC32" s="1068">
        <f>(BA32-AG32)/10</f>
        <v>0.9199999999999996</v>
      </c>
    </row>
    <row r="33" spans="1:55" ht="9.75" customHeight="1">
      <c r="A33" s="779"/>
      <c r="B33" s="1786" t="s">
        <v>464</v>
      </c>
      <c r="C33" s="668"/>
      <c r="D33" s="668"/>
      <c r="E33" s="779"/>
      <c r="F33" s="779"/>
      <c r="G33" s="779"/>
      <c r="H33" s="779"/>
      <c r="I33" s="779"/>
      <c r="J33" s="779"/>
      <c r="K33" s="779"/>
      <c r="L33" s="779"/>
      <c r="M33" s="779"/>
      <c r="N33" s="779"/>
      <c r="O33" s="779"/>
      <c r="P33" s="779"/>
      <c r="Q33" s="779"/>
      <c r="R33" s="779"/>
      <c r="S33" s="779"/>
      <c r="T33" s="779"/>
      <c r="U33" s="779"/>
      <c r="V33" s="779"/>
      <c r="W33" s="779"/>
      <c r="X33" s="779"/>
      <c r="Y33" s="779"/>
      <c r="Z33" s="779"/>
      <c r="AA33" s="779"/>
      <c r="AB33" s="779"/>
      <c r="AC33" s="779"/>
      <c r="AE33" s="1788" t="s">
        <v>722</v>
      </c>
      <c r="AF33" s="825">
        <f>AF34-SUM(AF31:AF32)</f>
        <v>143734</v>
      </c>
      <c r="AG33" s="820">
        <f>ROUND(AF33/AF$34,3)*100</f>
        <v>32</v>
      </c>
      <c r="AH33" s="825">
        <f>AH34-SUM(AH31:AH32)</f>
        <v>141882</v>
      </c>
      <c r="AI33" s="820">
        <f>ROUND(AH33/AH$34,3)*100</f>
        <v>31.8</v>
      </c>
      <c r="AJ33" s="825">
        <f>AJ34-SUM(AJ31:AJ32)</f>
        <v>151515</v>
      </c>
      <c r="AK33" s="820">
        <f>ROUND(AJ33/AJ$34,3)*100</f>
        <v>33.800000000000004</v>
      </c>
      <c r="AL33" s="825">
        <f>AL34-SUM(AL31:AL32)</f>
        <v>144415</v>
      </c>
      <c r="AM33" s="820">
        <f>ROUND(AL33/AL$34,3)*100</f>
        <v>32</v>
      </c>
      <c r="AN33" s="825">
        <f>AN34-SUM(AN31:AN32)</f>
        <v>126046</v>
      </c>
      <c r="AO33" s="820">
        <f>ROUND(AN33/AN$34,3)*100</f>
        <v>29.599999999999998</v>
      </c>
      <c r="AP33" s="825">
        <f>AP34-SUM(AP31:AP32)</f>
        <v>110483</v>
      </c>
      <c r="AQ33" s="820">
        <f>ROUND(AP33/AP$34,3)*100</f>
        <v>27.900000000000002</v>
      </c>
      <c r="AR33" s="825">
        <f>AR34-SUM(AR31:AR32)</f>
        <v>104013</v>
      </c>
      <c r="AS33" s="820">
        <f>ROUND(AR33/AR$34,3)*100</f>
        <v>26.400000000000002</v>
      </c>
      <c r="AT33" s="825">
        <f>AT34-SUM(AT31:AT32)</f>
        <v>92236</v>
      </c>
      <c r="AU33" s="820">
        <f>ROUND(AT33/AT$34,3)*100</f>
        <v>23.5</v>
      </c>
      <c r="AV33" s="825">
        <f>AV34-SUM(AV31:AV32)</f>
        <v>96196</v>
      </c>
      <c r="AW33" s="820">
        <f>ROUND(AV33/AV$34,3)*100</f>
        <v>22.900000000000002</v>
      </c>
      <c r="AX33" s="825">
        <f>AX34-SUM(AX31:AX32)</f>
        <v>88677</v>
      </c>
      <c r="AY33" s="820">
        <f>ROUND(AX33/AX$34,3)*100</f>
        <v>21.3</v>
      </c>
      <c r="AZ33" s="826">
        <f>AZ34-SUM(AZ31:AZ32)</f>
        <v>93091</v>
      </c>
      <c r="BA33" s="820">
        <f>ROUND(AZ33/AZ$34,3)*100</f>
        <v>20.7</v>
      </c>
      <c r="BB33" s="1069">
        <f>((AZ33/AF33)^(1/10)-1)*100</f>
        <v>-4.2508740067829898</v>
      </c>
      <c r="BC33" s="1068">
        <f>(BA33-AG33)/10</f>
        <v>-1.1300000000000001</v>
      </c>
    </row>
    <row r="34" spans="1:55" ht="12" customHeight="1" thickBot="1">
      <c r="A34" s="779"/>
      <c r="B34" s="1017"/>
      <c r="C34" s="668"/>
      <c r="D34" s="668"/>
      <c r="E34" s="779"/>
      <c r="F34" s="779"/>
      <c r="G34" s="779"/>
      <c r="H34" s="779"/>
      <c r="I34" s="779"/>
      <c r="J34" s="779"/>
      <c r="K34" s="779"/>
      <c r="L34" s="779"/>
      <c r="M34" s="779"/>
      <c r="N34" s="779"/>
      <c r="O34" s="779"/>
      <c r="P34" s="779"/>
      <c r="Q34" s="779"/>
      <c r="R34" s="779"/>
      <c r="S34" s="779"/>
      <c r="T34" s="779"/>
      <c r="U34" s="779"/>
      <c r="V34" s="779"/>
      <c r="W34" s="779"/>
      <c r="X34" s="779"/>
      <c r="Y34" s="779"/>
      <c r="Z34" s="779"/>
      <c r="AA34" s="779"/>
      <c r="AB34" s="779"/>
      <c r="AC34" s="779"/>
      <c r="AE34" s="818" t="s">
        <v>571</v>
      </c>
      <c r="AF34" s="819">
        <v>449196</v>
      </c>
      <c r="AG34" s="820">
        <v>100</v>
      </c>
      <c r="AH34" s="819">
        <v>446867</v>
      </c>
      <c r="AI34" s="820">
        <v>100</v>
      </c>
      <c r="AJ34" s="819">
        <v>448795</v>
      </c>
      <c r="AK34" s="820">
        <v>100</v>
      </c>
      <c r="AL34" s="819">
        <v>450646</v>
      </c>
      <c r="AM34" s="820">
        <v>100</v>
      </c>
      <c r="AN34" s="819">
        <v>426248</v>
      </c>
      <c r="AO34" s="820">
        <v>100</v>
      </c>
      <c r="AP34" s="819">
        <v>395758</v>
      </c>
      <c r="AQ34" s="820">
        <v>100</v>
      </c>
      <c r="AR34" s="819">
        <v>393598</v>
      </c>
      <c r="AS34" s="820">
        <v>100</v>
      </c>
      <c r="AT34" s="819">
        <v>392883</v>
      </c>
      <c r="AU34" s="820">
        <v>100</v>
      </c>
      <c r="AV34" s="819">
        <v>420744</v>
      </c>
      <c r="AW34" s="820">
        <v>100</v>
      </c>
      <c r="AX34" s="819">
        <v>416389</v>
      </c>
      <c r="AY34" s="820">
        <v>100</v>
      </c>
      <c r="AZ34" s="832">
        <v>449817</v>
      </c>
      <c r="BA34" s="833">
        <v>100</v>
      </c>
      <c r="BB34" s="1070">
        <f>((AZ34/AF34)^(1/10)-1)*100</f>
        <v>1.3816107148634238E-2</v>
      </c>
      <c r="BC34" s="1071" t="s">
        <v>8</v>
      </c>
    </row>
    <row r="35" spans="1:55" ht="12" customHeight="1">
      <c r="A35" s="779"/>
      <c r="B35" s="779"/>
      <c r="C35" s="779"/>
      <c r="D35" s="779"/>
      <c r="E35" s="779"/>
      <c r="F35" s="779"/>
      <c r="G35" s="779"/>
      <c r="H35" s="779"/>
      <c r="I35" s="779"/>
      <c r="J35" s="779"/>
      <c r="K35" s="779"/>
      <c r="L35" s="779"/>
      <c r="M35" s="779"/>
      <c r="N35" s="779"/>
      <c r="O35" s="779"/>
      <c r="P35" s="779"/>
      <c r="Q35" s="779"/>
      <c r="R35" s="779"/>
      <c r="S35" s="779"/>
      <c r="T35" s="779"/>
      <c r="U35" s="779"/>
      <c r="V35" s="779"/>
      <c r="W35" s="779"/>
      <c r="X35" s="779"/>
      <c r="Y35" s="779"/>
      <c r="Z35" s="779"/>
      <c r="AA35" s="779"/>
      <c r="AB35" s="779"/>
      <c r="AC35" s="779"/>
    </row>
    <row r="36" spans="1:55" ht="12" customHeight="1">
      <c r="A36" s="779"/>
      <c r="B36" s="779"/>
      <c r="C36" s="779"/>
      <c r="D36" s="779"/>
      <c r="E36" s="779"/>
      <c r="F36" s="779"/>
      <c r="G36" s="779"/>
      <c r="H36" s="779"/>
      <c r="I36" s="779"/>
      <c r="J36" s="779"/>
      <c r="K36" s="779"/>
      <c r="L36" s="779"/>
      <c r="M36" s="779"/>
      <c r="N36" s="779"/>
      <c r="O36" s="779"/>
      <c r="P36" s="779"/>
      <c r="Q36" s="779"/>
      <c r="R36" s="779"/>
      <c r="S36" s="779"/>
      <c r="T36" s="779"/>
      <c r="U36" s="779"/>
      <c r="V36" s="779"/>
      <c r="W36" s="779"/>
      <c r="X36" s="779"/>
      <c r="Y36" s="779"/>
      <c r="Z36" s="779"/>
      <c r="AA36" s="779"/>
      <c r="AB36" s="779"/>
      <c r="AC36" s="779"/>
    </row>
    <row r="37" spans="1:55">
      <c r="A37" s="779"/>
      <c r="B37" s="779"/>
      <c r="C37" s="779"/>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E37" s="769" t="s">
        <v>723</v>
      </c>
    </row>
    <row r="38" spans="1:55" ht="15" customHeight="1">
      <c r="A38" s="779"/>
      <c r="B38" s="779"/>
      <c r="C38" s="779"/>
      <c r="D38" s="779"/>
      <c r="E38" s="779"/>
      <c r="F38" s="779"/>
      <c r="G38" s="779"/>
      <c r="H38" s="779"/>
      <c r="I38" s="779"/>
      <c r="J38" s="779"/>
      <c r="K38" s="779"/>
      <c r="L38" s="779"/>
      <c r="M38" s="779"/>
      <c r="N38" s="779"/>
      <c r="O38" s="779"/>
      <c r="P38" s="779"/>
      <c r="Q38" s="779"/>
      <c r="R38" s="779"/>
      <c r="S38" s="779"/>
      <c r="T38" s="779"/>
      <c r="U38" s="779"/>
      <c r="V38" s="779"/>
      <c r="W38" s="779"/>
      <c r="X38" s="779"/>
      <c r="Y38" s="779"/>
      <c r="Z38" s="779"/>
      <c r="AA38" s="779"/>
      <c r="AB38" s="779"/>
      <c r="AC38" s="779"/>
    </row>
    <row r="39" spans="1:55" ht="15" customHeight="1">
      <c r="A39" s="779"/>
      <c r="B39" s="779"/>
      <c r="C39" s="779"/>
      <c r="D39" s="779"/>
      <c r="E39" s="779"/>
      <c r="F39" s="779"/>
      <c r="G39" s="779"/>
      <c r="H39" s="779"/>
      <c r="I39" s="779"/>
      <c r="J39" s="779"/>
      <c r="K39" s="779"/>
      <c r="L39" s="779"/>
      <c r="M39" s="779"/>
      <c r="N39" s="779"/>
      <c r="O39" s="779"/>
      <c r="P39" s="779"/>
      <c r="Q39" s="779"/>
      <c r="R39" s="779"/>
      <c r="S39" s="779"/>
      <c r="T39" s="779"/>
      <c r="U39" s="779"/>
      <c r="V39" s="779"/>
      <c r="W39" s="779"/>
      <c r="X39" s="779"/>
      <c r="Y39" s="779"/>
      <c r="Z39" s="779"/>
      <c r="AA39" s="779"/>
      <c r="AB39" s="779"/>
      <c r="AC39" s="779"/>
      <c r="AE39" s="837"/>
      <c r="AF39" s="837">
        <f>$AF$27</f>
        <v>2015</v>
      </c>
      <c r="AG39" s="837">
        <f t="shared" ref="AG39:AP39" si="5">AF39+1</f>
        <v>2016</v>
      </c>
      <c r="AH39" s="837">
        <f t="shared" si="5"/>
        <v>2017</v>
      </c>
      <c r="AI39" s="837">
        <f t="shared" si="5"/>
        <v>2018</v>
      </c>
      <c r="AJ39" s="837">
        <f t="shared" si="5"/>
        <v>2019</v>
      </c>
      <c r="AK39" s="837">
        <f t="shared" si="5"/>
        <v>2020</v>
      </c>
      <c r="AL39" s="837">
        <f t="shared" si="5"/>
        <v>2021</v>
      </c>
      <c r="AM39" s="837">
        <f t="shared" si="5"/>
        <v>2022</v>
      </c>
      <c r="AN39" s="837">
        <f t="shared" si="5"/>
        <v>2023</v>
      </c>
      <c r="AO39" s="837">
        <f t="shared" si="5"/>
        <v>2024</v>
      </c>
      <c r="AP39" s="837">
        <f t="shared" si="5"/>
        <v>2025</v>
      </c>
    </row>
    <row r="40" spans="1:55" ht="15" customHeight="1">
      <c r="A40" s="779"/>
      <c r="B40" s="779"/>
      <c r="C40" s="779"/>
      <c r="D40" s="779"/>
      <c r="E40" s="779"/>
      <c r="F40" s="779"/>
      <c r="G40" s="779"/>
      <c r="H40" s="779"/>
      <c r="I40" s="779"/>
      <c r="J40" s="779"/>
      <c r="K40" s="779"/>
      <c r="L40" s="779"/>
      <c r="M40" s="779"/>
      <c r="N40" s="779"/>
      <c r="O40" s="779"/>
      <c r="P40" s="779"/>
      <c r="Q40" s="779"/>
      <c r="R40" s="779"/>
      <c r="S40" s="779"/>
      <c r="T40" s="779"/>
      <c r="U40" s="779"/>
      <c r="V40" s="779"/>
      <c r="W40" s="779"/>
      <c r="X40" s="779"/>
      <c r="Y40" s="779"/>
      <c r="Z40" s="779"/>
      <c r="AA40" s="779"/>
      <c r="AB40" s="779"/>
      <c r="AC40" s="779"/>
      <c r="AE40" s="837" t="s">
        <v>180</v>
      </c>
      <c r="AF40" s="1072">
        <f>AF31</f>
        <v>190433</v>
      </c>
      <c r="AG40" s="1072">
        <f>AH31</f>
        <v>199232</v>
      </c>
      <c r="AH40" s="1072">
        <f>AJ31</f>
        <v>188613</v>
      </c>
      <c r="AI40" s="1072">
        <f>AL31</f>
        <v>187959</v>
      </c>
      <c r="AJ40" s="1072">
        <f>AN31</f>
        <v>186237</v>
      </c>
      <c r="AK40" s="1072">
        <f>AP31</f>
        <v>167314</v>
      </c>
      <c r="AL40" s="1072">
        <f>AR31</f>
        <v>166808</v>
      </c>
      <c r="AM40" s="1072">
        <f>AT31</f>
        <v>167314</v>
      </c>
      <c r="AN40" s="1072">
        <f>AV31</f>
        <v>184570</v>
      </c>
      <c r="AO40" s="1072">
        <f>AX31</f>
        <v>186942</v>
      </c>
      <c r="AP40" s="1072">
        <f>AZ31</f>
        <v>200295</v>
      </c>
    </row>
    <row r="41" spans="1:55" ht="24.75" customHeight="1">
      <c r="A41" s="779"/>
      <c r="B41" s="779"/>
      <c r="C41" s="779"/>
      <c r="D41" s="779"/>
      <c r="E41" s="779"/>
      <c r="F41" s="779"/>
      <c r="G41" s="779"/>
      <c r="H41" s="779"/>
      <c r="I41" s="779"/>
      <c r="J41" s="779"/>
      <c r="K41" s="779"/>
      <c r="L41" s="779"/>
      <c r="M41" s="779"/>
      <c r="N41" s="779"/>
      <c r="O41" s="779"/>
      <c r="P41" s="779"/>
      <c r="Q41" s="779"/>
      <c r="R41" s="779"/>
      <c r="S41" s="779"/>
      <c r="T41" s="779"/>
      <c r="U41" s="779"/>
      <c r="V41" s="779"/>
      <c r="W41" s="779"/>
      <c r="X41" s="779"/>
      <c r="Y41" s="779"/>
      <c r="Z41" s="779"/>
      <c r="AA41" s="779"/>
      <c r="AB41" s="779"/>
      <c r="AC41" s="779"/>
      <c r="AE41" s="1073" t="s">
        <v>724</v>
      </c>
      <c r="AF41" s="1072">
        <f>AF34</f>
        <v>449196</v>
      </c>
      <c r="AG41" s="1072">
        <f>AH34</f>
        <v>446867</v>
      </c>
      <c r="AH41" s="1072">
        <f>AJ34</f>
        <v>448795</v>
      </c>
      <c r="AI41" s="1072">
        <f>AL34</f>
        <v>450646</v>
      </c>
      <c r="AJ41" s="1072">
        <f>AN34</f>
        <v>426248</v>
      </c>
      <c r="AK41" s="1072">
        <f>AP34</f>
        <v>395758</v>
      </c>
      <c r="AL41" s="1072">
        <f>AR34</f>
        <v>393598</v>
      </c>
      <c r="AM41" s="1072">
        <f>AT34</f>
        <v>392883</v>
      </c>
      <c r="AN41" s="1072">
        <f>AV34</f>
        <v>420744</v>
      </c>
      <c r="AO41" s="1072">
        <f>AX34</f>
        <v>416389</v>
      </c>
      <c r="AP41" s="1072">
        <f>AZ34</f>
        <v>449817</v>
      </c>
    </row>
    <row r="42" spans="1:55" ht="18" customHeight="1">
      <c r="A42" s="779"/>
      <c r="B42" s="779"/>
      <c r="C42" s="779"/>
      <c r="D42" s="779"/>
      <c r="E42" s="779"/>
      <c r="F42" s="779"/>
      <c r="G42" s="779"/>
      <c r="H42" s="779"/>
      <c r="I42" s="779"/>
      <c r="J42" s="779"/>
      <c r="K42" s="779"/>
      <c r="L42" s="779"/>
      <c r="M42" s="779"/>
      <c r="N42" s="779"/>
      <c r="O42" s="779"/>
      <c r="P42" s="779"/>
      <c r="Q42" s="779"/>
      <c r="R42" s="779"/>
      <c r="S42" s="779"/>
      <c r="T42" s="779"/>
      <c r="U42" s="779"/>
      <c r="V42" s="779"/>
      <c r="W42" s="779"/>
      <c r="X42" s="779"/>
      <c r="Y42" s="779"/>
      <c r="Z42" s="779"/>
      <c r="AA42" s="779"/>
      <c r="AB42" s="779"/>
      <c r="AC42" s="779"/>
      <c r="AE42" s="1073" t="s">
        <v>725</v>
      </c>
      <c r="AF42" s="1074">
        <f>IF(AG32=0,NA(),AG32)</f>
        <v>25.6</v>
      </c>
      <c r="AG42" s="1074">
        <f>IF(AI32=0,NA(),AI32)</f>
        <v>23.7</v>
      </c>
      <c r="AH42" s="1074">
        <f>IF(AK32=0,NA(),AK32)</f>
        <v>24.2</v>
      </c>
      <c r="AI42" s="1074">
        <f>IF(AM32=0,NA(),AM32)</f>
        <v>26.200000000000003</v>
      </c>
      <c r="AJ42" s="1074">
        <f>IF(AO32=0,NA(),AO32)</f>
        <v>26.700000000000003</v>
      </c>
      <c r="AK42" s="1074">
        <f>IF(AQ32=0,NA(),AQ32)</f>
        <v>29.799999999999997</v>
      </c>
      <c r="AL42" s="1074">
        <f>IF(AS32=0,NA(),AS32)</f>
        <v>31.2</v>
      </c>
      <c r="AM42" s="1074">
        <f>IF(AU32=0,NA(),AU32)</f>
        <v>33.900000000000006</v>
      </c>
      <c r="AN42" s="1074">
        <f>IF(AW32=0,NA(),AW32)</f>
        <v>33.300000000000004</v>
      </c>
      <c r="AO42" s="1074">
        <f>IF(AY32=0,NA(),AY32)</f>
        <v>33.800000000000004</v>
      </c>
      <c r="AP42" s="1074">
        <f>IF(BA32=0,NA(),BA32)</f>
        <v>34.799999999999997</v>
      </c>
    </row>
    <row r="43" spans="1:55" ht="15" customHeight="1">
      <c r="A43" s="779"/>
      <c r="B43" s="779"/>
      <c r="C43" s="779"/>
      <c r="D43" s="779"/>
      <c r="E43" s="779"/>
      <c r="F43" s="779"/>
      <c r="G43" s="779"/>
      <c r="H43" s="779"/>
      <c r="I43" s="779"/>
      <c r="J43" s="779"/>
      <c r="K43" s="779"/>
      <c r="L43" s="779"/>
      <c r="M43" s="779"/>
      <c r="N43" s="779"/>
      <c r="O43" s="779"/>
      <c r="P43" s="779"/>
      <c r="Q43" s="779"/>
      <c r="R43" s="779"/>
      <c r="S43" s="779"/>
      <c r="T43" s="779"/>
      <c r="U43" s="779"/>
      <c r="V43" s="779"/>
      <c r="W43" s="779"/>
      <c r="X43" s="779"/>
      <c r="Y43" s="779"/>
      <c r="Z43" s="779"/>
      <c r="AA43" s="779"/>
      <c r="AB43" s="779"/>
      <c r="AC43" s="779"/>
    </row>
    <row r="44" spans="1:55" ht="15" customHeight="1">
      <c r="A44" s="779"/>
      <c r="B44" s="779"/>
      <c r="C44" s="779"/>
      <c r="D44" s="779"/>
      <c r="E44" s="779"/>
      <c r="F44" s="779"/>
      <c r="G44" s="779"/>
      <c r="H44" s="779"/>
      <c r="I44" s="779"/>
      <c r="J44" s="779"/>
      <c r="K44" s="779"/>
      <c r="L44" s="779"/>
      <c r="M44" s="779"/>
      <c r="N44" s="779"/>
      <c r="O44" s="779"/>
      <c r="P44" s="779"/>
      <c r="Q44" s="779"/>
      <c r="R44" s="779"/>
      <c r="S44" s="779"/>
      <c r="T44" s="779"/>
      <c r="U44" s="779"/>
      <c r="V44" s="779"/>
      <c r="W44" s="779"/>
      <c r="X44" s="779"/>
      <c r="Y44" s="779"/>
      <c r="Z44" s="779"/>
      <c r="AA44" s="779"/>
      <c r="AB44" s="779"/>
      <c r="AC44" s="779"/>
      <c r="AE44" s="769" t="s">
        <v>726</v>
      </c>
    </row>
    <row r="45" spans="1:55" ht="4.5" customHeight="1">
      <c r="A45" s="779"/>
      <c r="B45" s="779"/>
      <c r="C45" s="779"/>
      <c r="D45" s="779"/>
      <c r="E45" s="779"/>
      <c r="F45" s="779"/>
      <c r="G45" s="779"/>
      <c r="H45" s="779"/>
      <c r="I45" s="779"/>
      <c r="J45" s="779"/>
      <c r="K45" s="779"/>
      <c r="L45" s="779"/>
      <c r="M45" s="779"/>
      <c r="N45" s="779"/>
      <c r="O45" s="779"/>
      <c r="P45" s="779"/>
      <c r="Q45" s="779"/>
      <c r="R45" s="779"/>
      <c r="S45" s="779"/>
      <c r="T45" s="779"/>
      <c r="U45" s="779"/>
      <c r="V45" s="779"/>
      <c r="W45" s="779"/>
      <c r="X45" s="779"/>
      <c r="Y45" s="779"/>
      <c r="Z45" s="779"/>
      <c r="AA45" s="779"/>
      <c r="AB45" s="779"/>
      <c r="AC45" s="779"/>
      <c r="AE45" s="769" t="s">
        <v>727</v>
      </c>
    </row>
    <row r="46" spans="1:55" ht="15" customHeight="1">
      <c r="A46" s="779"/>
      <c r="B46" s="779"/>
      <c r="C46" s="779"/>
      <c r="D46" s="779"/>
      <c r="E46" s="779"/>
      <c r="F46" s="779"/>
      <c r="G46" s="779"/>
      <c r="H46" s="779"/>
      <c r="I46" s="779"/>
      <c r="J46" s="779"/>
      <c r="K46" s="779"/>
      <c r="L46" s="779"/>
      <c r="M46" s="779"/>
      <c r="N46" s="779"/>
      <c r="O46" s="779"/>
      <c r="P46" s="779"/>
      <c r="Q46" s="779"/>
      <c r="R46" s="779"/>
      <c r="S46" s="779"/>
      <c r="T46" s="779"/>
      <c r="U46" s="779"/>
      <c r="V46" s="779"/>
      <c r="W46" s="779"/>
      <c r="X46" s="779"/>
      <c r="Y46" s="779"/>
      <c r="Z46" s="779"/>
      <c r="AA46" s="779"/>
      <c r="AB46" s="779"/>
      <c r="AC46" s="779"/>
      <c r="AE46" s="769" t="s">
        <v>728</v>
      </c>
    </row>
    <row r="47" spans="1:55" ht="15" customHeight="1">
      <c r="AE47" s="769" t="s">
        <v>729</v>
      </c>
    </row>
    <row r="48" spans="1:55" ht="15" customHeight="1">
      <c r="AE48" s="786" t="s">
        <v>717</v>
      </c>
      <c r="AF48" s="1986" t="s">
        <v>1434</v>
      </c>
      <c r="AG48" s="846"/>
      <c r="AH48" s="846"/>
      <c r="AI48" s="846"/>
      <c r="AJ48" s="846"/>
      <c r="AK48" s="846"/>
      <c r="AL48" s="847"/>
    </row>
    <row r="49" spans="31:38" ht="15" customHeight="1">
      <c r="AE49" s="848"/>
      <c r="AF49" s="849" t="s">
        <v>1433</v>
      </c>
      <c r="AG49" s="849"/>
      <c r="AH49" s="849"/>
      <c r="AI49" s="849"/>
      <c r="AJ49" s="849"/>
      <c r="AK49" s="849"/>
      <c r="AL49" s="850"/>
    </row>
    <row r="50" spans="31:38" ht="15" customHeight="1"/>
    <row r="51" spans="31:38" ht="15" customHeight="1"/>
    <row r="52" spans="31:38" ht="15" customHeight="1"/>
  </sheetData>
  <sheetProtection algorithmName="SHA-512" hashValue="4cqSNJua+zVUfuFumcWL7ePpWeAUFC8K/fjNC3L3oMDHE9ld6dswqjibfarNUv+OC6T762McfA+tctypjGou1A==" saltValue="6nKLehGupWvpm4b36682Kw==" spinCount="100000" sheet="1" objects="1" scenarios="1"/>
  <customSheetViews>
    <customSheetView guid="{06451E13-97D0-44F4-875B-E8D80B2F1CF1}" showPageBreaks="1" fitToPage="1" printArea="1" hiddenRows="1" view="pageBreakPreview">
      <selection activeCell="AC35" sqref="AC35"/>
      <pageMargins left="0" right="0" top="0" bottom="0" header="0" footer="0"/>
      <printOptions horizontalCentered="1" verticalCentered="1"/>
      <pageSetup paperSize="9" scale="82" orientation="landscape" r:id="rId1"/>
      <headerFooter scaleWithDoc="0" alignWithMargins="0">
        <oddFooter>&amp;C&amp;"Arial,標準"&amp;12 8</oddFooter>
      </headerFooter>
    </customSheetView>
  </customSheetViews>
  <mergeCells count="96">
    <mergeCell ref="B29:D29"/>
    <mergeCell ref="M6:N7"/>
    <mergeCell ref="O6:P7"/>
    <mergeCell ref="Q6:R7"/>
    <mergeCell ref="S6:T7"/>
    <mergeCell ref="B27:D27"/>
    <mergeCell ref="B26:D26"/>
    <mergeCell ref="B6:D7"/>
    <mergeCell ref="E6:F7"/>
    <mergeCell ref="G6:H7"/>
    <mergeCell ref="I6:J7"/>
    <mergeCell ref="K6:L7"/>
    <mergeCell ref="B8:D8"/>
    <mergeCell ref="E8:F8"/>
    <mergeCell ref="G8:H8"/>
    <mergeCell ref="I8:J8"/>
    <mergeCell ref="AQ6:AQ7"/>
    <mergeCell ref="AR6:AR7"/>
    <mergeCell ref="AA7:AB7"/>
    <mergeCell ref="AN6:AN7"/>
    <mergeCell ref="AO6:AO7"/>
    <mergeCell ref="AP6:AP7"/>
    <mergeCell ref="AJ6:AJ7"/>
    <mergeCell ref="AA6:AB6"/>
    <mergeCell ref="AE6:AF7"/>
    <mergeCell ref="AG6:AG7"/>
    <mergeCell ref="AK6:AK7"/>
    <mergeCell ref="AL6:AL7"/>
    <mergeCell ref="AM6:AM7"/>
    <mergeCell ref="AH6:AH7"/>
    <mergeCell ref="AI6:AI7"/>
    <mergeCell ref="AE8:AF8"/>
    <mergeCell ref="U8:V8"/>
    <mergeCell ref="W8:X8"/>
    <mergeCell ref="Y8:Z8"/>
    <mergeCell ref="AA8:AB8"/>
    <mergeCell ref="K8:L8"/>
    <mergeCell ref="B9:D9"/>
    <mergeCell ref="E9:F9"/>
    <mergeCell ref="G9:H9"/>
    <mergeCell ref="I9:J9"/>
    <mergeCell ref="K9:L9"/>
    <mergeCell ref="M9:N9"/>
    <mergeCell ref="O9:P9"/>
    <mergeCell ref="Q9:R9"/>
    <mergeCell ref="S9:T9"/>
    <mergeCell ref="Y6:Z7"/>
    <mergeCell ref="W6:X7"/>
    <mergeCell ref="Q8:R8"/>
    <mergeCell ref="S8:T8"/>
    <mergeCell ref="M8:N8"/>
    <mergeCell ref="O8:P8"/>
    <mergeCell ref="U6:V7"/>
    <mergeCell ref="E24:F25"/>
    <mergeCell ref="G24:H25"/>
    <mergeCell ref="I24:J25"/>
    <mergeCell ref="K24:L25"/>
    <mergeCell ref="M24:N25"/>
    <mergeCell ref="AA9:AB9"/>
    <mergeCell ref="O24:P25"/>
    <mergeCell ref="Q24:R25"/>
    <mergeCell ref="S24:T25"/>
    <mergeCell ref="U24:V25"/>
    <mergeCell ref="W24:X25"/>
    <mergeCell ref="Y24:Z25"/>
    <mergeCell ref="U9:V9"/>
    <mergeCell ref="W9:X9"/>
    <mergeCell ref="Y9:Z9"/>
    <mergeCell ref="AO27:AO28"/>
    <mergeCell ref="AA24:AB24"/>
    <mergeCell ref="AA25:AB25"/>
    <mergeCell ref="AF27:AF28"/>
    <mergeCell ref="AG27:AG28"/>
    <mergeCell ref="AH27:AH28"/>
    <mergeCell ref="AI27:AI28"/>
    <mergeCell ref="AJ27:AJ28"/>
    <mergeCell ref="AK27:AK28"/>
    <mergeCell ref="AL27:AL28"/>
    <mergeCell ref="AM27:AM28"/>
    <mergeCell ref="AN27:AN28"/>
    <mergeCell ref="BB27:BC27"/>
    <mergeCell ref="B28:D28"/>
    <mergeCell ref="BB28:BC28"/>
    <mergeCell ref="B31:D31"/>
    <mergeCell ref="AV27:AV28"/>
    <mergeCell ref="AW27:AW28"/>
    <mergeCell ref="AX27:AX28"/>
    <mergeCell ref="AY27:AY28"/>
    <mergeCell ref="AZ27:AZ28"/>
    <mergeCell ref="BA27:BA28"/>
    <mergeCell ref="AP27:AP28"/>
    <mergeCell ref="AQ27:AQ28"/>
    <mergeCell ref="AR27:AR28"/>
    <mergeCell ref="AS27:AS28"/>
    <mergeCell ref="AT27:AT28"/>
    <mergeCell ref="AU27:AU28"/>
  </mergeCells>
  <phoneticPr fontId="17"/>
  <hyperlinks>
    <hyperlink ref="AE20" r:id="rId2" display="\\10.51.3.13\財務部\10_担当業務\30_決算\DATABOOK\2103\【要確認】本決算時修正ﾘｽﾄ"/>
    <hyperlink ref="AF48" r:id="rId3"/>
    <hyperlink ref="AF25" r:id="rId4"/>
  </hyperlinks>
  <printOptions horizontalCentered="1" verticalCentered="1"/>
  <pageMargins left="0" right="0" top="0" bottom="0" header="0" footer="0"/>
  <pageSetup paperSize="9" scale="84" orientation="landscape" r:id="rId5"/>
  <headerFooter scaleWithDoc="0" alignWithMargins="0">
    <oddFooter>&amp;C&amp;"Arial,標準"&amp;12 8</oddFooter>
  </headerFooter>
  <drawing r:id="rId6"/>
  <legacyDrawing r:id="rId7"/>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AJ55"/>
  <sheetViews>
    <sheetView view="pageBreakPreview" topLeftCell="A2" zoomScaleNormal="85" zoomScaleSheetLayoutView="100" workbookViewId="0">
      <selection activeCell="E21" sqref="E21"/>
    </sheetView>
  </sheetViews>
  <sheetFormatPr defaultColWidth="7.5703125" defaultRowHeight="19.5" customHeight="1" outlineLevelRow="1"/>
  <cols>
    <col min="1" max="1" width="9.5703125" style="769" customWidth="1"/>
    <col min="2" max="3" width="11.42578125" style="991" customWidth="1"/>
    <col min="4" max="13" width="11.85546875" style="769" customWidth="1"/>
    <col min="14" max="14" width="9.5703125" style="769" customWidth="1"/>
    <col min="15" max="15" width="10.5703125" style="769" hidden="1" customWidth="1"/>
    <col min="16" max="16" width="0" style="769" hidden="1" customWidth="1"/>
    <col min="17" max="17" width="8.28515625" style="769" hidden="1" customWidth="1"/>
    <col min="18" max="18" width="11.85546875" style="769" hidden="1" customWidth="1"/>
    <col min="19" max="20" width="6" style="769" hidden="1" customWidth="1"/>
    <col min="21" max="24" width="9.7109375" style="769" hidden="1" customWidth="1"/>
    <col min="25" max="28" width="9" style="769" hidden="1" customWidth="1"/>
    <col min="29" max="29" width="8.7109375" style="769" hidden="1" customWidth="1"/>
    <col min="30" max="30" width="7.7109375" style="769" hidden="1" customWidth="1"/>
    <col min="31" max="33" width="6.7109375" style="769" hidden="1" customWidth="1"/>
    <col min="34" max="57" width="0" style="769" hidden="1" customWidth="1"/>
    <col min="58" max="16384" width="7.5703125" style="769"/>
  </cols>
  <sheetData>
    <row r="1" spans="1:32" s="669" customFormat="1" ht="31.5" customHeight="1">
      <c r="A1" s="1628"/>
      <c r="D1" s="1514"/>
    </row>
    <row r="2" spans="1:32" s="669" customFormat="1" ht="48" customHeight="1">
      <c r="A2" s="1628"/>
      <c r="D2" s="1514"/>
    </row>
    <row r="3" spans="1:32" ht="19.5" customHeight="1">
      <c r="B3" s="769"/>
      <c r="C3" s="769"/>
    </row>
    <row r="4" spans="1:32" ht="20.25">
      <c r="B4" s="1629"/>
      <c r="C4" s="1630"/>
      <c r="L4" s="839"/>
      <c r="M4" s="1075" t="s">
        <v>1673</v>
      </c>
      <c r="O4" s="839"/>
      <c r="R4" s="769" t="s">
        <v>1044</v>
      </c>
    </row>
    <row r="5" spans="1:32" s="886" customFormat="1" ht="23.25" customHeight="1">
      <c r="B5" s="1621"/>
      <c r="C5" s="1622"/>
      <c r="D5" s="2406" t="s">
        <v>730</v>
      </c>
      <c r="E5" s="2407"/>
      <c r="F5" s="2408" t="s">
        <v>731</v>
      </c>
      <c r="G5" s="2407"/>
      <c r="H5" s="2407"/>
      <c r="I5" s="2409" t="s">
        <v>732</v>
      </c>
      <c r="J5" s="2407"/>
      <c r="K5" s="2407"/>
      <c r="L5" s="2408" t="s">
        <v>733</v>
      </c>
      <c r="M5" s="2410"/>
      <c r="Q5" s="769"/>
      <c r="S5" s="769" t="s">
        <v>1045</v>
      </c>
      <c r="T5" s="769"/>
      <c r="U5" s="769" t="s">
        <v>1046</v>
      </c>
      <c r="V5" s="769"/>
      <c r="W5" s="769" t="s">
        <v>1047</v>
      </c>
      <c r="X5" s="769"/>
      <c r="Y5" s="769" t="s">
        <v>1074</v>
      </c>
      <c r="Z5" s="769"/>
      <c r="AA5" s="769" t="s">
        <v>1075</v>
      </c>
      <c r="AB5" s="769"/>
      <c r="AC5" s="769"/>
      <c r="AD5" s="769"/>
      <c r="AE5" s="769"/>
      <c r="AF5" s="769"/>
    </row>
    <row r="6" spans="1:32" ht="23.25" customHeight="1">
      <c r="B6" s="1625" t="s">
        <v>1038</v>
      </c>
      <c r="C6" s="1623" t="s">
        <v>1037</v>
      </c>
      <c r="D6" s="1636">
        <v>2026.3</v>
      </c>
      <c r="E6" s="1627">
        <v>2025.3</v>
      </c>
      <c r="F6" s="1636">
        <v>2026.3</v>
      </c>
      <c r="G6" s="1627">
        <v>2025.3</v>
      </c>
      <c r="H6" s="1077" t="s">
        <v>734</v>
      </c>
      <c r="I6" s="1636">
        <v>2026.3</v>
      </c>
      <c r="J6" s="1627">
        <v>2025.3</v>
      </c>
      <c r="K6" s="1078" t="s">
        <v>1127</v>
      </c>
      <c r="L6" s="1636">
        <v>2026.3</v>
      </c>
      <c r="M6" s="1627">
        <v>2025.3</v>
      </c>
      <c r="N6" s="887"/>
      <c r="O6" s="886"/>
      <c r="Q6" s="769" t="s">
        <v>1048</v>
      </c>
      <c r="R6" s="769" t="s">
        <v>1049</v>
      </c>
      <c r="S6" s="769" t="s">
        <v>1050</v>
      </c>
      <c r="T6" s="769" t="s">
        <v>1051</v>
      </c>
      <c r="U6" s="769" t="s">
        <v>1050</v>
      </c>
      <c r="V6" s="769" t="s">
        <v>1051</v>
      </c>
      <c r="W6" s="769" t="s">
        <v>1050</v>
      </c>
      <c r="X6" s="769" t="s">
        <v>1051</v>
      </c>
      <c r="Y6" s="769" t="s">
        <v>1050</v>
      </c>
      <c r="Z6" s="769" t="s">
        <v>1051</v>
      </c>
      <c r="AA6" s="769" t="s">
        <v>1050</v>
      </c>
      <c r="AB6" s="769" t="s">
        <v>1051</v>
      </c>
    </row>
    <row r="7" spans="1:32" ht="17.45" customHeight="1">
      <c r="B7" s="1644" t="str">
        <f>VLOOKUP(1,$Q$7:$AB$25,2,FALSE)</f>
        <v>東京</v>
      </c>
      <c r="C7" s="1645" t="str">
        <f t="shared" ref="C7:C24" si="0">VLOOKUP(B7,$Q$38:$R$55,2,FALSE)</f>
        <v>Tokyo</v>
      </c>
      <c r="D7" s="1645">
        <f>SUMIF($R$7:$R$25,$B7,S$7:S$25)</f>
        <v>49</v>
      </c>
      <c r="E7" s="1645">
        <f>SUMIF($R$7:$R$25,$B7,T$7:T$25)</f>
        <v>49</v>
      </c>
      <c r="F7" s="1646">
        <f t="shared" ref="F7:G22" si="1">SUMIF($R$7:$R$25,$B7,Y$7:Y$25)</f>
        <v>876049</v>
      </c>
      <c r="G7" s="1646">
        <f>SUMIF($R$7:$R$25,$B7,Z$7:Z$25)</f>
        <v>803806</v>
      </c>
      <c r="H7" s="1647">
        <f>IF(ISERROR(F7/G7),"-",F7/G7*100-100)</f>
        <v>8.9876164149060855</v>
      </c>
      <c r="I7" s="1646">
        <f>SUMIF($R$7:$R$25,$B7,AA$7:AA$25)</f>
        <v>599259</v>
      </c>
      <c r="J7" s="1646">
        <f t="shared" ref="J7:J24" si="2">SUMIF($R$7:$R$25,$B7,AB$7:AB$25)</f>
        <v>550137</v>
      </c>
      <c r="K7" s="1647">
        <f t="shared" ref="K7:K24" si="3">IF(ISERROR(I7/J7),"-",I7/J7*100-100)</f>
        <v>8.9290485824440111</v>
      </c>
      <c r="L7" s="1648">
        <f t="shared" ref="L7:M24" si="4">IF(ISERROR(I7/F7),"-",I7/F7*100)</f>
        <v>68.404735351561385</v>
      </c>
      <c r="M7" s="1648">
        <f t="shared" si="4"/>
        <v>68.441514494791036</v>
      </c>
      <c r="N7" s="1631"/>
      <c r="O7" s="1080"/>
      <c r="Q7" s="769">
        <f>RANK(Y7,Y$7:Y$25,0)</f>
        <v>1</v>
      </c>
      <c r="R7" s="1708" t="s">
        <v>1110</v>
      </c>
      <c r="S7" s="769">
        <v>49</v>
      </c>
      <c r="T7" s="769">
        <v>49</v>
      </c>
      <c r="U7" s="840">
        <v>876049</v>
      </c>
      <c r="V7" s="840">
        <v>803806</v>
      </c>
      <c r="W7" s="840">
        <v>599259</v>
      </c>
      <c r="X7" s="840">
        <v>550137</v>
      </c>
      <c r="Y7" s="769">
        <f t="shared" ref="Y7:AB22" si="5">IF($R7="四国",0,IF($R7="ＨＡＡ神戸",U7+SUMIF($R$7:$R$25,"四国",U$7:U$25),U7))</f>
        <v>876049</v>
      </c>
      <c r="Z7" s="769">
        <f t="shared" si="5"/>
        <v>803806</v>
      </c>
      <c r="AA7" s="769">
        <f t="shared" si="5"/>
        <v>599259</v>
      </c>
      <c r="AB7" s="769">
        <f t="shared" si="5"/>
        <v>550137</v>
      </c>
    </row>
    <row r="8" spans="1:32" ht="17.45" customHeight="1">
      <c r="B8" s="1649" t="str">
        <f>VLOOKUP(2,$Q$7:$AB$25,2,FALSE)</f>
        <v>名古屋</v>
      </c>
      <c r="C8" s="1638" t="str">
        <f t="shared" si="0"/>
        <v>Nagoya</v>
      </c>
      <c r="D8" s="1638">
        <f t="shared" ref="D8:E24" si="6">SUMIF($R$7:$R$25,$B8,S$7:S$25)</f>
        <v>49</v>
      </c>
      <c r="E8" s="1638">
        <f t="shared" si="6"/>
        <v>49</v>
      </c>
      <c r="F8" s="1650">
        <f t="shared" si="1"/>
        <v>528010</v>
      </c>
      <c r="G8" s="1650">
        <f t="shared" si="1"/>
        <v>491523</v>
      </c>
      <c r="H8" s="1651">
        <f t="shared" ref="H8:H21" si="7">IF(ISERROR(F8/G8),"-",F8/G8*100-100)</f>
        <v>7.423253845699989</v>
      </c>
      <c r="I8" s="1650">
        <f>SUMIF($R$7:$R$25,$B8,AA$7:AA$25)</f>
        <v>334458</v>
      </c>
      <c r="J8" s="1650">
        <f t="shared" si="2"/>
        <v>302256</v>
      </c>
      <c r="K8" s="1651">
        <f t="shared" si="3"/>
        <v>10.653882801333964</v>
      </c>
      <c r="L8" s="1640">
        <f t="shared" si="4"/>
        <v>63.343118501543529</v>
      </c>
      <c r="M8" s="1640">
        <f t="shared" si="4"/>
        <v>61.493765296842675</v>
      </c>
      <c r="N8" s="1631"/>
      <c r="O8" s="1080"/>
      <c r="Q8" s="769">
        <f t="shared" ref="Q8:Q25" si="8">RANK(Y8,Y$7:Y$25,0)</f>
        <v>2</v>
      </c>
      <c r="R8" s="1708" t="s">
        <v>1111</v>
      </c>
      <c r="S8" s="769">
        <v>49</v>
      </c>
      <c r="T8" s="769">
        <v>49</v>
      </c>
      <c r="U8" s="840">
        <v>528010</v>
      </c>
      <c r="V8" s="840">
        <v>491523</v>
      </c>
      <c r="W8" s="840">
        <v>334458</v>
      </c>
      <c r="X8" s="840">
        <v>302256</v>
      </c>
      <c r="Y8" s="769">
        <f t="shared" si="5"/>
        <v>528010</v>
      </c>
      <c r="Z8" s="769">
        <f t="shared" si="5"/>
        <v>491523</v>
      </c>
      <c r="AA8" s="769">
        <f t="shared" si="5"/>
        <v>334458</v>
      </c>
      <c r="AB8" s="769">
        <f t="shared" si="5"/>
        <v>302256</v>
      </c>
    </row>
    <row r="9" spans="1:32" ht="17.45" customHeight="1">
      <c r="B9" s="1655" t="str">
        <f>VLOOKUP(3,$Q$7:$AB$25,2,FALSE)</f>
        <v>ＨＡＡ神戸</v>
      </c>
      <c r="C9" s="1656" t="str">
        <f t="shared" si="0"/>
        <v>HAA Kobe</v>
      </c>
      <c r="D9" s="1656">
        <f t="shared" si="6"/>
        <v>49</v>
      </c>
      <c r="E9" s="1656">
        <f t="shared" si="6"/>
        <v>49</v>
      </c>
      <c r="F9" s="1657">
        <f>SUMIF($R$7:$R$25,$B9,Y$7:Y$25)</f>
        <v>365480</v>
      </c>
      <c r="G9" s="1657">
        <f t="shared" si="1"/>
        <v>324164</v>
      </c>
      <c r="H9" s="1658">
        <f t="shared" si="7"/>
        <v>12.745400476302123</v>
      </c>
      <c r="I9" s="1657">
        <f t="shared" ref="I9:I24" si="9">SUMIF($R$7:$R$25,$B9,AA$7:AA$25)</f>
        <v>243578</v>
      </c>
      <c r="J9" s="1657">
        <f t="shared" si="2"/>
        <v>214609</v>
      </c>
      <c r="K9" s="1658">
        <f t="shared" si="3"/>
        <v>13.498501926759829</v>
      </c>
      <c r="L9" s="1659">
        <f t="shared" si="4"/>
        <v>66.646054503666406</v>
      </c>
      <c r="M9" s="1659">
        <f t="shared" si="4"/>
        <v>66.203835095815705</v>
      </c>
      <c r="N9" s="1631"/>
      <c r="O9" s="1080"/>
      <c r="Q9" s="769">
        <f t="shared" si="8"/>
        <v>3</v>
      </c>
      <c r="R9" s="2049" t="s">
        <v>1589</v>
      </c>
      <c r="S9" s="769">
        <v>49</v>
      </c>
      <c r="T9" s="769">
        <v>49</v>
      </c>
      <c r="U9" s="840">
        <v>356459</v>
      </c>
      <c r="V9" s="840">
        <v>314923</v>
      </c>
      <c r="W9" s="840">
        <v>236442</v>
      </c>
      <c r="X9" s="840">
        <v>207464</v>
      </c>
      <c r="Y9" s="769">
        <f>IF($R9="四国",0,IF($R9="ＨＡＡ神戸",U9+SUMIF($R$7:$R$25,"四国",U$7:U$25),U9))</f>
        <v>365480</v>
      </c>
      <c r="Z9" s="769">
        <f t="shared" si="5"/>
        <v>324164</v>
      </c>
      <c r="AA9" s="769">
        <f t="shared" si="5"/>
        <v>243578</v>
      </c>
      <c r="AB9" s="769">
        <f t="shared" si="5"/>
        <v>214609</v>
      </c>
    </row>
    <row r="10" spans="1:32" ht="17.45" customHeight="1">
      <c r="B10" s="1649" t="str">
        <f>VLOOKUP(4,$Q$7:$AB$25,2,FALSE)</f>
        <v>九州</v>
      </c>
      <c r="C10" s="1638" t="str">
        <f t="shared" si="0"/>
        <v>Kyushu</v>
      </c>
      <c r="D10" s="1638">
        <f t="shared" si="6"/>
        <v>49</v>
      </c>
      <c r="E10" s="1638">
        <f t="shared" si="6"/>
        <v>49</v>
      </c>
      <c r="F10" s="1650">
        <f t="shared" si="1"/>
        <v>271130</v>
      </c>
      <c r="G10" s="1650">
        <f t="shared" si="1"/>
        <v>237459</v>
      </c>
      <c r="H10" s="1651">
        <f t="shared" si="7"/>
        <v>14.179711023797807</v>
      </c>
      <c r="I10" s="1650">
        <f t="shared" si="9"/>
        <v>204595</v>
      </c>
      <c r="J10" s="1650">
        <f t="shared" si="2"/>
        <v>175893</v>
      </c>
      <c r="K10" s="1651">
        <f t="shared" si="3"/>
        <v>16.317875071776598</v>
      </c>
      <c r="L10" s="1640">
        <f t="shared" si="4"/>
        <v>75.460111385682154</v>
      </c>
      <c r="M10" s="1640">
        <f t="shared" si="4"/>
        <v>74.072997864894575</v>
      </c>
      <c r="N10" s="1631"/>
      <c r="O10" s="1080"/>
      <c r="Q10" s="769">
        <f t="shared" si="8"/>
        <v>5</v>
      </c>
      <c r="R10" s="1708" t="s">
        <v>1114</v>
      </c>
      <c r="S10" s="769">
        <v>49</v>
      </c>
      <c r="T10" s="769">
        <v>49</v>
      </c>
      <c r="U10" s="840">
        <v>254136</v>
      </c>
      <c r="V10" s="840">
        <v>240017</v>
      </c>
      <c r="W10" s="840">
        <v>164845</v>
      </c>
      <c r="X10" s="840">
        <v>158631</v>
      </c>
      <c r="Y10" s="769">
        <f t="shared" si="5"/>
        <v>254136</v>
      </c>
      <c r="Z10" s="769">
        <f t="shared" si="5"/>
        <v>240017</v>
      </c>
      <c r="AA10" s="769">
        <f t="shared" si="5"/>
        <v>164845</v>
      </c>
      <c r="AB10" s="769">
        <f t="shared" si="5"/>
        <v>158631</v>
      </c>
    </row>
    <row r="11" spans="1:32" ht="17.45" customHeight="1">
      <c r="B11" s="1655" t="str">
        <f>VLOOKUP(5,$Q$7:$AB$25,2,FALSE)</f>
        <v>横浜</v>
      </c>
      <c r="C11" s="1656" t="str">
        <f t="shared" si="0"/>
        <v>Yokohama</v>
      </c>
      <c r="D11" s="1656">
        <f t="shared" si="6"/>
        <v>49</v>
      </c>
      <c r="E11" s="1656">
        <f t="shared" si="6"/>
        <v>49</v>
      </c>
      <c r="F11" s="1657">
        <f t="shared" si="1"/>
        <v>254136</v>
      </c>
      <c r="G11" s="1657">
        <f t="shared" si="1"/>
        <v>240017</v>
      </c>
      <c r="H11" s="1658">
        <f t="shared" si="7"/>
        <v>5.8824999895840762</v>
      </c>
      <c r="I11" s="1657">
        <f>SUMIF($R$7:$R$25,$B11,AA$7:AA$25)</f>
        <v>164845</v>
      </c>
      <c r="J11" s="1657">
        <f t="shared" si="2"/>
        <v>158631</v>
      </c>
      <c r="K11" s="1658">
        <f t="shared" si="3"/>
        <v>3.9172671167678459</v>
      </c>
      <c r="L11" s="1659">
        <f t="shared" si="4"/>
        <v>64.86487549973242</v>
      </c>
      <c r="M11" s="1659">
        <f t="shared" si="4"/>
        <v>66.091568513896931</v>
      </c>
      <c r="N11" s="1631"/>
      <c r="O11" s="1080"/>
      <c r="Q11" s="769">
        <f t="shared" si="8"/>
        <v>4</v>
      </c>
      <c r="R11" s="1708" t="s">
        <v>1112</v>
      </c>
      <c r="S11" s="769">
        <v>49</v>
      </c>
      <c r="T11" s="769">
        <v>49</v>
      </c>
      <c r="U11" s="840">
        <v>271130</v>
      </c>
      <c r="V11" s="840">
        <v>237459</v>
      </c>
      <c r="W11" s="840">
        <v>204595</v>
      </c>
      <c r="X11" s="840">
        <v>175893</v>
      </c>
      <c r="Y11" s="769">
        <f t="shared" si="5"/>
        <v>271130</v>
      </c>
      <c r="Z11" s="769">
        <f t="shared" si="5"/>
        <v>237459</v>
      </c>
      <c r="AA11" s="769">
        <f t="shared" si="5"/>
        <v>204595</v>
      </c>
      <c r="AB11" s="769">
        <f t="shared" si="5"/>
        <v>175893</v>
      </c>
    </row>
    <row r="12" spans="1:32" ht="17.45" customHeight="1">
      <c r="B12" s="1649" t="str">
        <f>VLOOKUP(6,$Q$7:$AB$25,2,FALSE)</f>
        <v>大阪</v>
      </c>
      <c r="C12" s="1638" t="str">
        <f t="shared" si="0"/>
        <v>Osaka</v>
      </c>
      <c r="D12" s="1638">
        <f t="shared" si="6"/>
        <v>49</v>
      </c>
      <c r="E12" s="1638">
        <f t="shared" si="6"/>
        <v>49</v>
      </c>
      <c r="F12" s="1650">
        <f t="shared" si="1"/>
        <v>224199</v>
      </c>
      <c r="G12" s="1650">
        <f t="shared" si="1"/>
        <v>210062</v>
      </c>
      <c r="H12" s="1651">
        <f t="shared" si="7"/>
        <v>6.7299178337824088</v>
      </c>
      <c r="I12" s="1650">
        <f t="shared" si="9"/>
        <v>129544</v>
      </c>
      <c r="J12" s="1650">
        <f t="shared" si="2"/>
        <v>124789</v>
      </c>
      <c r="K12" s="1651">
        <f t="shared" si="3"/>
        <v>3.8104320092315902</v>
      </c>
      <c r="L12" s="1640">
        <f t="shared" si="4"/>
        <v>57.780810797550387</v>
      </c>
      <c r="M12" s="1640">
        <f t="shared" si="4"/>
        <v>59.405794479725039</v>
      </c>
      <c r="N12" s="1631"/>
      <c r="O12" s="1080"/>
      <c r="Q12" s="769">
        <f t="shared" si="8"/>
        <v>6</v>
      </c>
      <c r="R12" s="1708" t="s">
        <v>1113</v>
      </c>
      <c r="S12" s="769">
        <v>49</v>
      </c>
      <c r="T12" s="769">
        <v>49</v>
      </c>
      <c r="U12" s="840">
        <v>224199</v>
      </c>
      <c r="V12" s="840">
        <v>210062</v>
      </c>
      <c r="W12" s="840">
        <v>129544</v>
      </c>
      <c r="X12" s="840">
        <v>124789</v>
      </c>
      <c r="Y12" s="769">
        <f t="shared" si="5"/>
        <v>224199</v>
      </c>
      <c r="Z12" s="769">
        <f t="shared" si="5"/>
        <v>210062</v>
      </c>
      <c r="AA12" s="769">
        <f t="shared" si="5"/>
        <v>129544</v>
      </c>
      <c r="AB12" s="769">
        <f t="shared" si="5"/>
        <v>124789</v>
      </c>
    </row>
    <row r="13" spans="1:32" ht="17.45" customHeight="1">
      <c r="B13" s="1655" t="str">
        <f>VLOOKUP(7,$Q$7:$AB$25,2,FALSE)</f>
        <v>札幌</v>
      </c>
      <c r="C13" s="1656" t="str">
        <f t="shared" si="0"/>
        <v>Sapporo</v>
      </c>
      <c r="D13" s="1656">
        <f t="shared" si="6"/>
        <v>49</v>
      </c>
      <c r="E13" s="1656">
        <f t="shared" si="6"/>
        <v>49</v>
      </c>
      <c r="F13" s="1657">
        <f t="shared" si="1"/>
        <v>169362</v>
      </c>
      <c r="G13" s="1657">
        <f t="shared" si="1"/>
        <v>159589</v>
      </c>
      <c r="H13" s="1658">
        <f t="shared" si="7"/>
        <v>6.1238556542117664</v>
      </c>
      <c r="I13" s="1657">
        <f t="shared" si="9"/>
        <v>119179</v>
      </c>
      <c r="J13" s="1657">
        <f t="shared" si="2"/>
        <v>113921</v>
      </c>
      <c r="K13" s="1658">
        <f t="shared" si="3"/>
        <v>4.6154791478305128</v>
      </c>
      <c r="L13" s="1659">
        <f t="shared" si="4"/>
        <v>70.369386284998996</v>
      </c>
      <c r="M13" s="1659">
        <f t="shared" si="4"/>
        <v>71.383992631071067</v>
      </c>
      <c r="N13" s="1631"/>
      <c r="O13" s="1080"/>
      <c r="Q13" s="769">
        <f t="shared" si="8"/>
        <v>7</v>
      </c>
      <c r="R13" s="1708" t="s">
        <v>1115</v>
      </c>
      <c r="S13" s="769">
        <v>49</v>
      </c>
      <c r="T13" s="769">
        <v>49</v>
      </c>
      <c r="U13" s="840">
        <v>169362</v>
      </c>
      <c r="V13" s="840">
        <v>159589</v>
      </c>
      <c r="W13" s="840">
        <v>119179</v>
      </c>
      <c r="X13" s="840">
        <v>113921</v>
      </c>
      <c r="Y13" s="769">
        <f t="shared" si="5"/>
        <v>169362</v>
      </c>
      <c r="Z13" s="769">
        <f t="shared" si="5"/>
        <v>159589</v>
      </c>
      <c r="AA13" s="769">
        <f t="shared" si="5"/>
        <v>119179</v>
      </c>
      <c r="AB13" s="769">
        <f t="shared" si="5"/>
        <v>113921</v>
      </c>
    </row>
    <row r="14" spans="1:32" ht="17.45" customHeight="1">
      <c r="B14" s="1649" t="str">
        <f>VLOOKUP(8,$Q$7:$AB$25,2,FALSE)</f>
        <v>神戸</v>
      </c>
      <c r="C14" s="1638" t="str">
        <f t="shared" si="0"/>
        <v>Kobe</v>
      </c>
      <c r="D14" s="1438">
        <f t="shared" si="6"/>
        <v>49</v>
      </c>
      <c r="E14" s="1438">
        <f t="shared" si="6"/>
        <v>49</v>
      </c>
      <c r="F14" s="1652">
        <f t="shared" si="1"/>
        <v>106771</v>
      </c>
      <c r="G14" s="1652">
        <f t="shared" si="1"/>
        <v>95977</v>
      </c>
      <c r="H14" s="1651">
        <f t="shared" si="7"/>
        <v>11.246444460652043</v>
      </c>
      <c r="I14" s="1652">
        <f t="shared" si="9"/>
        <v>71050</v>
      </c>
      <c r="J14" s="1652">
        <f t="shared" si="2"/>
        <v>62321</v>
      </c>
      <c r="K14" s="1651">
        <f t="shared" si="3"/>
        <v>14.00651465798046</v>
      </c>
      <c r="L14" s="1640">
        <f t="shared" si="4"/>
        <v>66.544286369894451</v>
      </c>
      <c r="M14" s="1640">
        <f t="shared" si="4"/>
        <v>64.933265261468904</v>
      </c>
      <c r="N14" s="1631"/>
      <c r="O14" s="1080"/>
      <c r="Q14" s="769">
        <f t="shared" si="8"/>
        <v>10</v>
      </c>
      <c r="R14" s="1708" t="s">
        <v>1116</v>
      </c>
      <c r="S14" s="769">
        <v>49</v>
      </c>
      <c r="T14" s="769">
        <v>49</v>
      </c>
      <c r="U14" s="840">
        <v>100976</v>
      </c>
      <c r="V14" s="840">
        <v>98044</v>
      </c>
      <c r="W14" s="840">
        <v>64825</v>
      </c>
      <c r="X14" s="840">
        <v>64280</v>
      </c>
      <c r="Y14" s="769">
        <f t="shared" si="5"/>
        <v>100976</v>
      </c>
      <c r="Z14" s="769">
        <f>IF($R14="四国",0,IF($R14="ＨＡＡ神戸",V14+SUMIF($R$7:$R$25,"四国",V$7:V$25),V14))</f>
        <v>98044</v>
      </c>
      <c r="AA14" s="769">
        <f t="shared" si="5"/>
        <v>64825</v>
      </c>
      <c r="AB14" s="769">
        <f t="shared" si="5"/>
        <v>64280</v>
      </c>
    </row>
    <row r="15" spans="1:32" ht="17.45" customHeight="1">
      <c r="B15" s="1655" t="str">
        <f>VLOOKUP(9,$Q$7:$AB$25,2,FALSE)</f>
        <v>Ｒ－名古屋</v>
      </c>
      <c r="C15" s="1656" t="str">
        <f t="shared" si="0"/>
        <v>R-Nagoya</v>
      </c>
      <c r="D15" s="1656">
        <f t="shared" si="6"/>
        <v>49</v>
      </c>
      <c r="E15" s="1656">
        <f t="shared" si="6"/>
        <v>49</v>
      </c>
      <c r="F15" s="1657">
        <f t="shared" si="1"/>
        <v>101630</v>
      </c>
      <c r="G15" s="1657">
        <f t="shared" si="1"/>
        <v>90463</v>
      </c>
      <c r="H15" s="1658">
        <f t="shared" si="7"/>
        <v>12.344273349325135</v>
      </c>
      <c r="I15" s="1657">
        <f t="shared" si="9"/>
        <v>83937</v>
      </c>
      <c r="J15" s="1657">
        <f t="shared" si="2"/>
        <v>76693</v>
      </c>
      <c r="K15" s="1658">
        <f t="shared" si="3"/>
        <v>9.4454513449728097</v>
      </c>
      <c r="L15" s="1659">
        <f t="shared" si="4"/>
        <v>82.590770441798682</v>
      </c>
      <c r="M15" s="1659">
        <f t="shared" si="4"/>
        <v>84.778307153200757</v>
      </c>
      <c r="N15" s="1631"/>
      <c r="O15" s="1080"/>
      <c r="Q15" s="769">
        <f t="shared" si="8"/>
        <v>8</v>
      </c>
      <c r="R15" s="1708" t="s">
        <v>1117</v>
      </c>
      <c r="S15" s="769">
        <v>49</v>
      </c>
      <c r="T15" s="769">
        <v>49</v>
      </c>
      <c r="U15" s="840">
        <v>106771</v>
      </c>
      <c r="V15" s="840">
        <v>95977</v>
      </c>
      <c r="W15" s="840">
        <v>71050</v>
      </c>
      <c r="X15" s="840">
        <v>62321</v>
      </c>
      <c r="Y15" s="769">
        <f t="shared" si="5"/>
        <v>106771</v>
      </c>
      <c r="Z15" s="769">
        <f t="shared" si="5"/>
        <v>95977</v>
      </c>
      <c r="AA15" s="769">
        <f t="shared" si="5"/>
        <v>71050</v>
      </c>
      <c r="AB15" s="769">
        <f t="shared" si="5"/>
        <v>62321</v>
      </c>
    </row>
    <row r="16" spans="1:32" ht="17.45" customHeight="1">
      <c r="B16" s="1649" t="str">
        <f>VLOOKUP(10,$Q$7:$AB$25,2,FALSE)</f>
        <v>静岡</v>
      </c>
      <c r="C16" s="1638" t="str">
        <f t="shared" si="0"/>
        <v>Shizuoka</v>
      </c>
      <c r="D16" s="1438">
        <f t="shared" si="6"/>
        <v>49</v>
      </c>
      <c r="E16" s="1438">
        <f t="shared" si="6"/>
        <v>49</v>
      </c>
      <c r="F16" s="1652">
        <f>SUMIF($R$7:$R$25,$B16,Y$7:Y$25)</f>
        <v>100976</v>
      </c>
      <c r="G16" s="1652">
        <f t="shared" si="1"/>
        <v>98044</v>
      </c>
      <c r="H16" s="1651">
        <f t="shared" si="7"/>
        <v>2.9904940638896989</v>
      </c>
      <c r="I16" s="1652">
        <f t="shared" si="9"/>
        <v>64825</v>
      </c>
      <c r="J16" s="1652">
        <f t="shared" si="2"/>
        <v>64280</v>
      </c>
      <c r="K16" s="1651">
        <f t="shared" si="3"/>
        <v>0.84785314250154897</v>
      </c>
      <c r="L16" s="1640">
        <f t="shared" si="4"/>
        <v>64.198423387735701</v>
      </c>
      <c r="M16" s="1640">
        <f t="shared" si="4"/>
        <v>65.562400554852928</v>
      </c>
      <c r="N16" s="1631"/>
      <c r="O16" s="1080"/>
      <c r="Q16" s="769">
        <f t="shared" si="8"/>
        <v>9</v>
      </c>
      <c r="R16" s="1708" t="s">
        <v>1755</v>
      </c>
      <c r="S16" s="769">
        <v>49</v>
      </c>
      <c r="T16" s="769">
        <v>49</v>
      </c>
      <c r="U16" s="840">
        <v>101630</v>
      </c>
      <c r="V16" s="840">
        <v>90463</v>
      </c>
      <c r="W16" s="840">
        <v>83937</v>
      </c>
      <c r="X16" s="840">
        <v>76693</v>
      </c>
      <c r="Y16" s="769">
        <f>IF($R16="四国",0,IF($R16="ＨＡＡ神戸",U16+SUMIF($R$7:$R$25,"四国",U$7:U$25),U16))</f>
        <v>101630</v>
      </c>
      <c r="Z16" s="769">
        <f t="shared" si="5"/>
        <v>90463</v>
      </c>
      <c r="AA16" s="769">
        <f t="shared" si="5"/>
        <v>83937</v>
      </c>
      <c r="AB16" s="769">
        <f t="shared" si="5"/>
        <v>76693</v>
      </c>
    </row>
    <row r="17" spans="2:30" ht="17.45" customHeight="1">
      <c r="B17" s="1655" t="str">
        <f>VLOOKUP(11,$Q$7:$AB$25,2,FALSE)</f>
        <v>東北</v>
      </c>
      <c r="C17" s="1656" t="str">
        <f t="shared" si="0"/>
        <v>Tohoku</v>
      </c>
      <c r="D17" s="1656">
        <f t="shared" si="6"/>
        <v>49</v>
      </c>
      <c r="E17" s="1656">
        <f t="shared" si="6"/>
        <v>49</v>
      </c>
      <c r="F17" s="1657">
        <f t="shared" ref="F17:G24" si="10">SUMIF($R$7:$R$25,$B17,Y$7:Y$25)</f>
        <v>83877</v>
      </c>
      <c r="G17" s="1657">
        <f t="shared" si="1"/>
        <v>72354</v>
      </c>
      <c r="H17" s="1658">
        <f t="shared" si="7"/>
        <v>15.92586449954392</v>
      </c>
      <c r="I17" s="1657">
        <f t="shared" si="9"/>
        <v>63946</v>
      </c>
      <c r="J17" s="1657">
        <f t="shared" si="2"/>
        <v>56528</v>
      </c>
      <c r="K17" s="1658">
        <f t="shared" si="3"/>
        <v>13.122700254741005</v>
      </c>
      <c r="L17" s="1659">
        <f t="shared" si="4"/>
        <v>76.237824433396511</v>
      </c>
      <c r="M17" s="1659">
        <f t="shared" si="4"/>
        <v>78.126986759543357</v>
      </c>
      <c r="N17" s="1631"/>
      <c r="O17" s="1080"/>
      <c r="Q17" s="769">
        <f t="shared" si="8"/>
        <v>12</v>
      </c>
      <c r="R17" s="1708" t="s">
        <v>1039</v>
      </c>
      <c r="S17" s="769">
        <v>49</v>
      </c>
      <c r="T17" s="769">
        <v>49</v>
      </c>
      <c r="U17" s="840">
        <v>82020</v>
      </c>
      <c r="V17" s="840">
        <v>76771</v>
      </c>
      <c r="W17" s="840">
        <v>33755</v>
      </c>
      <c r="X17" s="840">
        <v>33127</v>
      </c>
      <c r="Y17" s="769">
        <f t="shared" ref="Y17:Z25" si="11">IF($R17="四国",0,IF($R17="ＨＡＡ神戸",U17+SUMIF($R$7:$R$25,"四国",U$7:U$25),U17))</f>
        <v>82020</v>
      </c>
      <c r="Z17" s="769">
        <f t="shared" si="5"/>
        <v>76771</v>
      </c>
      <c r="AA17" s="769">
        <f t="shared" si="5"/>
        <v>33755</v>
      </c>
      <c r="AB17" s="769">
        <f t="shared" si="5"/>
        <v>33127</v>
      </c>
    </row>
    <row r="18" spans="2:30" ht="17.45" customHeight="1">
      <c r="B18" s="1649" t="str">
        <f>VLOOKUP(12,$Q$7:$AB$25,2,FALSE)</f>
        <v>ＪＡＡ</v>
      </c>
      <c r="C18" s="1638" t="str">
        <f t="shared" si="0"/>
        <v>JAA</v>
      </c>
      <c r="D18" s="1438">
        <f t="shared" si="6"/>
        <v>49</v>
      </c>
      <c r="E18" s="1438">
        <f t="shared" si="6"/>
        <v>49</v>
      </c>
      <c r="F18" s="1652">
        <f t="shared" si="10"/>
        <v>82020</v>
      </c>
      <c r="G18" s="1652">
        <f t="shared" si="1"/>
        <v>76771</v>
      </c>
      <c r="H18" s="1651">
        <f t="shared" si="7"/>
        <v>6.8372171783616267</v>
      </c>
      <c r="I18" s="1652">
        <f t="shared" si="9"/>
        <v>33755</v>
      </c>
      <c r="J18" s="1652">
        <f t="shared" si="2"/>
        <v>33127</v>
      </c>
      <c r="K18" s="1651">
        <f t="shared" si="3"/>
        <v>1.895734597156391</v>
      </c>
      <c r="L18" s="1640">
        <f t="shared" si="4"/>
        <v>41.154596439892707</v>
      </c>
      <c r="M18" s="1640">
        <f t="shared" si="4"/>
        <v>43.150408357322426</v>
      </c>
      <c r="N18" s="1631"/>
      <c r="O18" s="1080"/>
      <c r="Q18" s="769">
        <f t="shared" si="8"/>
        <v>13</v>
      </c>
      <c r="R18" s="1708" t="s">
        <v>1118</v>
      </c>
      <c r="S18" s="769">
        <v>49</v>
      </c>
      <c r="T18" s="769">
        <v>49</v>
      </c>
      <c r="U18" s="840">
        <v>80633</v>
      </c>
      <c r="V18" s="840">
        <v>75298</v>
      </c>
      <c r="W18" s="840">
        <v>65373</v>
      </c>
      <c r="X18" s="840">
        <v>61049</v>
      </c>
      <c r="Y18" s="769">
        <f t="shared" si="11"/>
        <v>80633</v>
      </c>
      <c r="Z18" s="769">
        <f t="shared" si="5"/>
        <v>75298</v>
      </c>
      <c r="AA18" s="769">
        <f t="shared" si="5"/>
        <v>65373</v>
      </c>
      <c r="AB18" s="769">
        <f t="shared" si="5"/>
        <v>61049</v>
      </c>
    </row>
    <row r="19" spans="2:30" ht="17.45" customHeight="1">
      <c r="B19" s="1655" t="str">
        <f>VLOOKUP(13,$Q$7:$AB$25,2,FALSE)</f>
        <v>岡山</v>
      </c>
      <c r="C19" s="1656" t="str">
        <f t="shared" si="0"/>
        <v>Okayama</v>
      </c>
      <c r="D19" s="1656">
        <f t="shared" si="6"/>
        <v>49</v>
      </c>
      <c r="E19" s="1656">
        <f t="shared" si="6"/>
        <v>49</v>
      </c>
      <c r="F19" s="1657">
        <f t="shared" si="10"/>
        <v>80633</v>
      </c>
      <c r="G19" s="1657">
        <f t="shared" si="1"/>
        <v>75298</v>
      </c>
      <c r="H19" s="1658">
        <f t="shared" si="7"/>
        <v>7.0851815453265772</v>
      </c>
      <c r="I19" s="1657">
        <f t="shared" si="9"/>
        <v>65373</v>
      </c>
      <c r="J19" s="1657">
        <f t="shared" si="2"/>
        <v>61049</v>
      </c>
      <c r="K19" s="1658">
        <f t="shared" si="3"/>
        <v>7.0828350996740284</v>
      </c>
      <c r="L19" s="1659">
        <f t="shared" si="4"/>
        <v>81.074746071707608</v>
      </c>
      <c r="M19" s="1659">
        <f t="shared" si="4"/>
        <v>81.076522616802578</v>
      </c>
      <c r="N19" s="1631"/>
      <c r="O19" s="1080"/>
      <c r="Q19" s="769">
        <f t="shared" si="8"/>
        <v>11</v>
      </c>
      <c r="R19" s="1708" t="s">
        <v>1119</v>
      </c>
      <c r="S19" s="769">
        <v>49</v>
      </c>
      <c r="T19" s="769">
        <v>49</v>
      </c>
      <c r="U19" s="840">
        <v>83877</v>
      </c>
      <c r="V19" s="840">
        <v>72354</v>
      </c>
      <c r="W19" s="840">
        <v>63946</v>
      </c>
      <c r="X19" s="840">
        <v>56528</v>
      </c>
      <c r="Y19" s="769">
        <f t="shared" si="11"/>
        <v>83877</v>
      </c>
      <c r="Z19" s="769">
        <f t="shared" si="5"/>
        <v>72354</v>
      </c>
      <c r="AA19" s="769">
        <f t="shared" si="5"/>
        <v>63946</v>
      </c>
      <c r="AB19" s="769">
        <f t="shared" si="5"/>
        <v>56528</v>
      </c>
    </row>
    <row r="20" spans="2:30" ht="17.45" customHeight="1">
      <c r="B20" s="1649" t="str">
        <f>VLOOKUP(14,$Q$7:$AB$25,2,FALSE)</f>
        <v>群馬</v>
      </c>
      <c r="C20" s="1638" t="str">
        <f t="shared" si="0"/>
        <v>Gunma</v>
      </c>
      <c r="D20" s="1438">
        <f t="shared" si="6"/>
        <v>49</v>
      </c>
      <c r="E20" s="1438">
        <f t="shared" si="6"/>
        <v>49</v>
      </c>
      <c r="F20" s="1652">
        <f t="shared" si="10"/>
        <v>72696</v>
      </c>
      <c r="G20" s="1652">
        <f t="shared" si="1"/>
        <v>67269</v>
      </c>
      <c r="H20" s="1651">
        <f t="shared" si="7"/>
        <v>8.0676091513178392</v>
      </c>
      <c r="I20" s="1652">
        <f t="shared" si="9"/>
        <v>48098</v>
      </c>
      <c r="J20" s="1652">
        <f t="shared" si="2"/>
        <v>45565</v>
      </c>
      <c r="K20" s="1651">
        <f t="shared" si="3"/>
        <v>5.5590914078788529</v>
      </c>
      <c r="L20" s="1640">
        <f t="shared" si="4"/>
        <v>66.163200176075705</v>
      </c>
      <c r="M20" s="1640">
        <f t="shared" si="4"/>
        <v>67.735509670130369</v>
      </c>
      <c r="N20" s="1631"/>
      <c r="O20" s="1080"/>
      <c r="Q20" s="769">
        <f t="shared" si="8"/>
        <v>14</v>
      </c>
      <c r="R20" s="1708" t="s">
        <v>1120</v>
      </c>
      <c r="S20" s="769">
        <v>49</v>
      </c>
      <c r="T20" s="769">
        <v>49</v>
      </c>
      <c r="U20" s="840">
        <v>72696</v>
      </c>
      <c r="V20" s="840">
        <v>67269</v>
      </c>
      <c r="W20" s="840">
        <v>48098</v>
      </c>
      <c r="X20" s="840">
        <v>45565</v>
      </c>
      <c r="Y20" s="769">
        <f t="shared" si="11"/>
        <v>72696</v>
      </c>
      <c r="Z20" s="769">
        <f t="shared" si="5"/>
        <v>67269</v>
      </c>
      <c r="AA20" s="769">
        <f t="shared" si="5"/>
        <v>48098</v>
      </c>
      <c r="AB20" s="769">
        <f t="shared" si="5"/>
        <v>45565</v>
      </c>
    </row>
    <row r="21" spans="2:30" ht="17.45" customHeight="1">
      <c r="B21" s="1655" t="str">
        <f>VLOOKUP(15,$Q$7:$AB$25,2,FALSE)</f>
        <v>埼玉</v>
      </c>
      <c r="C21" s="1656" t="str">
        <f t="shared" si="0"/>
        <v>Saitama</v>
      </c>
      <c r="D21" s="1660">
        <f t="shared" si="6"/>
        <v>49</v>
      </c>
      <c r="E21" s="1660">
        <f t="shared" si="6"/>
        <v>49</v>
      </c>
      <c r="F21" s="1661">
        <f t="shared" si="10"/>
        <v>65144</v>
      </c>
      <c r="G21" s="1661">
        <f t="shared" si="1"/>
        <v>57436</v>
      </c>
      <c r="H21" s="1658">
        <f t="shared" si="7"/>
        <v>13.42015460686676</v>
      </c>
      <c r="I21" s="1661">
        <f t="shared" si="9"/>
        <v>44994</v>
      </c>
      <c r="J21" s="1661">
        <f t="shared" si="2"/>
        <v>39231</v>
      </c>
      <c r="K21" s="1658">
        <f t="shared" si="3"/>
        <v>14.689913588743593</v>
      </c>
      <c r="L21" s="1659">
        <f t="shared" si="4"/>
        <v>69.068525113594504</v>
      </c>
      <c r="M21" s="1659">
        <f>IF(ISERROR(J21/G21),"-",J21/G21*100)</f>
        <v>68.303851243122779</v>
      </c>
      <c r="N21" s="1631"/>
      <c r="O21" s="1080"/>
      <c r="Q21" s="769">
        <f t="shared" si="8"/>
        <v>15</v>
      </c>
      <c r="R21" s="1708" t="s">
        <v>1122</v>
      </c>
      <c r="S21" s="769">
        <v>49</v>
      </c>
      <c r="T21" s="769">
        <v>49</v>
      </c>
      <c r="U21" s="840">
        <v>65144</v>
      </c>
      <c r="V21" s="840">
        <v>57436</v>
      </c>
      <c r="W21" s="840">
        <v>44994</v>
      </c>
      <c r="X21" s="840">
        <v>39231</v>
      </c>
      <c r="Y21" s="769">
        <f t="shared" si="11"/>
        <v>65144</v>
      </c>
      <c r="Z21" s="769">
        <f t="shared" si="5"/>
        <v>57436</v>
      </c>
      <c r="AA21" s="769">
        <f t="shared" si="5"/>
        <v>44994</v>
      </c>
      <c r="AB21" s="769">
        <f t="shared" si="5"/>
        <v>39231</v>
      </c>
    </row>
    <row r="22" spans="2:30" ht="17.45" customHeight="1">
      <c r="B22" s="1649" t="str">
        <f>VLOOKUP(16,$Q$7:$AB$25,2,FALSE)</f>
        <v>新潟</v>
      </c>
      <c r="C22" s="1638" t="str">
        <f t="shared" si="0"/>
        <v>Niigata</v>
      </c>
      <c r="D22" s="1653">
        <f t="shared" si="6"/>
        <v>49</v>
      </c>
      <c r="E22" s="1654">
        <f>SUMIF($R$7:$R$25,$B22,T$7:T$25)</f>
        <v>49</v>
      </c>
      <c r="F22" s="1653">
        <f t="shared" si="10"/>
        <v>59052</v>
      </c>
      <c r="G22" s="1652">
        <f t="shared" si="1"/>
        <v>49261</v>
      </c>
      <c r="H22" s="1651">
        <f>IF(ISERROR(F22/G22),"-",F22/G22*100-100)</f>
        <v>19.875763788798452</v>
      </c>
      <c r="I22" s="1653">
        <f t="shared" si="9"/>
        <v>35594</v>
      </c>
      <c r="J22" s="1652">
        <f t="shared" si="2"/>
        <v>30303</v>
      </c>
      <c r="K22" s="1651">
        <f t="shared" si="3"/>
        <v>17.460317460317469</v>
      </c>
      <c r="L22" s="1640">
        <f t="shared" si="4"/>
        <v>60.275689223057647</v>
      </c>
      <c r="M22" s="1640">
        <f>IF(ISERROR(J22/G22),"-",J22/G22*100)</f>
        <v>61.515194575830776</v>
      </c>
      <c r="N22" s="1631"/>
      <c r="O22" s="1080"/>
      <c r="Q22" s="769">
        <f t="shared" si="8"/>
        <v>16</v>
      </c>
      <c r="R22" s="1708" t="s">
        <v>1121</v>
      </c>
      <c r="S22" s="769">
        <v>49</v>
      </c>
      <c r="T22" s="769">
        <v>49</v>
      </c>
      <c r="U22" s="840">
        <v>59052</v>
      </c>
      <c r="V22" s="840">
        <v>49261</v>
      </c>
      <c r="W22" s="840">
        <v>35594</v>
      </c>
      <c r="X22" s="840">
        <v>30303</v>
      </c>
      <c r="Y22" s="769">
        <f t="shared" si="11"/>
        <v>59052</v>
      </c>
      <c r="Z22" s="769">
        <f t="shared" si="5"/>
        <v>49261</v>
      </c>
      <c r="AA22" s="769">
        <f t="shared" si="5"/>
        <v>35594</v>
      </c>
      <c r="AB22" s="769">
        <f t="shared" si="5"/>
        <v>30303</v>
      </c>
    </row>
    <row r="23" spans="2:30" ht="17.45" customHeight="1">
      <c r="B23" s="1655" t="str">
        <f>VLOOKUP(17,$Q$7:$AB$25,2,FALSE)</f>
        <v>福岡</v>
      </c>
      <c r="C23" s="1656" t="str">
        <f t="shared" si="0"/>
        <v>Fukuoka</v>
      </c>
      <c r="D23" s="1656">
        <f>SUMIF($R$7:$R$25,$B23,S$7:S$25)</f>
        <v>49</v>
      </c>
      <c r="E23" s="1660">
        <f>SUMIF($R$7:$R$25,$B23,T$7:T$25)</f>
        <v>49</v>
      </c>
      <c r="F23" s="1657">
        <f t="shared" si="10"/>
        <v>44102</v>
      </c>
      <c r="G23" s="1661">
        <f t="shared" si="10"/>
        <v>36209</v>
      </c>
      <c r="H23" s="1658">
        <f>IF(ISERROR(F23/G23),"-",F23/G23*100-100)</f>
        <v>21.798447899693457</v>
      </c>
      <c r="I23" s="1657">
        <f t="shared" si="9"/>
        <v>25037</v>
      </c>
      <c r="J23" s="1661">
        <f t="shared" si="2"/>
        <v>22427</v>
      </c>
      <c r="K23" s="1658">
        <f t="shared" si="3"/>
        <v>11.637758059481882</v>
      </c>
      <c r="L23" s="1659">
        <f t="shared" si="4"/>
        <v>56.770667996916238</v>
      </c>
      <c r="M23" s="1659">
        <f>IF(ISERROR(J23/G23),"-",J23/G23*100)</f>
        <v>61.937639813306092</v>
      </c>
      <c r="N23" s="1631"/>
      <c r="O23" s="1080"/>
      <c r="Q23" s="769">
        <f t="shared" si="8"/>
        <v>17</v>
      </c>
      <c r="R23" s="1708" t="s">
        <v>1123</v>
      </c>
      <c r="S23" s="769">
        <v>49</v>
      </c>
      <c r="T23" s="769">
        <v>49</v>
      </c>
      <c r="U23" s="840">
        <v>44102</v>
      </c>
      <c r="V23" s="840">
        <v>36209</v>
      </c>
      <c r="W23" s="840">
        <v>25037</v>
      </c>
      <c r="X23" s="840">
        <v>22427</v>
      </c>
      <c r="Y23" s="769">
        <f>IF($R23="四国",0,IF($R23="ＨＡＡ神戸",U23+SUMIF($R$7:$R$25,"四国",U$7:U$25),U23))</f>
        <v>44102</v>
      </c>
      <c r="Z23" s="769">
        <f>IF($R23="四国",0,IF($R23="ＨＡＡ神戸",V23+SUMIF($R$7:$R$25,"四国",V$7:V$25),V23))</f>
        <v>36209</v>
      </c>
      <c r="AA23" s="769">
        <f t="shared" ref="AA23:AB25" si="12">IF($R23="四国",0,IF($R23="ＨＡＡ神戸",W23+SUMIF($R$7:$R$25,"四国",W$7:W$25),W23))</f>
        <v>25037</v>
      </c>
      <c r="AB23" s="769">
        <f t="shared" si="12"/>
        <v>22427</v>
      </c>
    </row>
    <row r="24" spans="2:30" ht="17.45" customHeight="1">
      <c r="B24" s="1649" t="str">
        <f>VLOOKUP(18,$Q$7:$AB$25,2,FALSE)</f>
        <v>北陸</v>
      </c>
      <c r="C24" s="1638" t="str">
        <f t="shared" si="0"/>
        <v>Hokuriku</v>
      </c>
      <c r="D24" s="1638">
        <f t="shared" si="6"/>
        <v>49</v>
      </c>
      <c r="E24" s="1438">
        <f t="shared" si="6"/>
        <v>49</v>
      </c>
      <c r="F24" s="1650">
        <f t="shared" si="10"/>
        <v>19170</v>
      </c>
      <c r="G24" s="1652">
        <f t="shared" si="10"/>
        <v>16300</v>
      </c>
      <c r="H24" s="1651">
        <f>IF(ISERROR(F24/G24),"-",F24/G24*100-100)</f>
        <v>17.607361963190186</v>
      </c>
      <c r="I24" s="1650">
        <f t="shared" si="9"/>
        <v>15499</v>
      </c>
      <c r="J24" s="1652">
        <f t="shared" si="2"/>
        <v>13398</v>
      </c>
      <c r="K24" s="1651">
        <f t="shared" si="3"/>
        <v>15.681444991789832</v>
      </c>
      <c r="L24" s="1640">
        <f t="shared" si="4"/>
        <v>80.85028690662493</v>
      </c>
      <c r="M24" s="1640">
        <f>IF(ISERROR(J24/G24),"-",J24/G24*100)</f>
        <v>82.196319018404907</v>
      </c>
      <c r="N24" s="1631"/>
      <c r="O24" s="1080"/>
      <c r="P24" s="769" t="s">
        <v>1039</v>
      </c>
      <c r="Q24" s="769">
        <f t="shared" si="8"/>
        <v>18</v>
      </c>
      <c r="R24" s="1708" t="s">
        <v>1124</v>
      </c>
      <c r="S24" s="769">
        <v>49</v>
      </c>
      <c r="T24" s="769">
        <v>49</v>
      </c>
      <c r="U24" s="840">
        <v>19170</v>
      </c>
      <c r="V24" s="840">
        <v>16300</v>
      </c>
      <c r="W24" s="840">
        <v>15499</v>
      </c>
      <c r="X24" s="840">
        <v>13398</v>
      </c>
      <c r="Y24" s="769">
        <f t="shared" si="11"/>
        <v>19170</v>
      </c>
      <c r="Z24" s="769">
        <f t="shared" si="11"/>
        <v>16300</v>
      </c>
      <c r="AA24" s="769">
        <f t="shared" si="12"/>
        <v>15499</v>
      </c>
      <c r="AB24" s="769">
        <f t="shared" si="12"/>
        <v>13398</v>
      </c>
    </row>
    <row r="25" spans="2:30" ht="17.45" customHeight="1">
      <c r="B25" s="1662" t="s">
        <v>1040</v>
      </c>
      <c r="C25" s="1663" t="s">
        <v>1041</v>
      </c>
      <c r="D25" s="1664">
        <f>SUM(D7:D24)</f>
        <v>882</v>
      </c>
      <c r="E25" s="1664">
        <f>SUM(E7:E24)</f>
        <v>882</v>
      </c>
      <c r="F25" s="1664">
        <f>SUM(F7:F24)</f>
        <v>3504437</v>
      </c>
      <c r="G25" s="1664">
        <f>SUM(G7:G24)</f>
        <v>3202002</v>
      </c>
      <c r="H25" s="1665">
        <f>IF(ISERROR(F25/G25),"-",F25/G25*100-100)</f>
        <v>9.4451846063806357</v>
      </c>
      <c r="I25" s="1664">
        <f>SUM(I7:I24)</f>
        <v>2347566</v>
      </c>
      <c r="J25" s="1664">
        <f>SUM(J7:J24)</f>
        <v>2145158</v>
      </c>
      <c r="K25" s="1665">
        <f>I25/J25*100-100</f>
        <v>9.4355753748674971</v>
      </c>
      <c r="L25" s="1666">
        <f>IF(ISERROR(I25/F25),"-",I25/F25*100)</f>
        <v>66.988392144016288</v>
      </c>
      <c r="M25" s="1666">
        <f>IF(ISERROR(J25/G25),"-",J25/G25*100)</f>
        <v>66.994274207199126</v>
      </c>
      <c r="N25" s="1632"/>
      <c r="O25" s="1080"/>
      <c r="P25" s="2049" t="s">
        <v>1748</v>
      </c>
      <c r="Q25" s="769">
        <f t="shared" si="8"/>
        <v>19</v>
      </c>
      <c r="R25" s="1708" t="s">
        <v>1125</v>
      </c>
      <c r="S25" s="769">
        <v>49</v>
      </c>
      <c r="T25" s="769">
        <v>49</v>
      </c>
      <c r="U25" s="840">
        <v>9021</v>
      </c>
      <c r="V25" s="840">
        <v>9241</v>
      </c>
      <c r="W25" s="840">
        <v>7136</v>
      </c>
      <c r="X25" s="840">
        <v>7145</v>
      </c>
      <c r="Y25" s="769">
        <f>IF($R25="四国",0,IF($R25="ＨＡＡ神戸",U25+SUMIF($R$7:$R$25,"四国",U$7:U$25),U25))</f>
        <v>0</v>
      </c>
      <c r="Z25" s="769">
        <f t="shared" si="11"/>
        <v>0</v>
      </c>
      <c r="AA25" s="769">
        <f t="shared" si="12"/>
        <v>0</v>
      </c>
      <c r="AB25" s="769">
        <f t="shared" si="12"/>
        <v>0</v>
      </c>
      <c r="AD25" s="839"/>
    </row>
    <row r="26" spans="2:30" ht="12.75" customHeight="1">
      <c r="B26" s="1638"/>
      <c r="C26" s="1638"/>
      <c r="D26" s="1638"/>
      <c r="E26" s="1638"/>
      <c r="F26" s="1637"/>
      <c r="G26" s="1637"/>
      <c r="H26" s="1639"/>
      <c r="I26" s="1637"/>
      <c r="J26" s="1637"/>
      <c r="K26" s="1639"/>
      <c r="L26" s="1640"/>
      <c r="M26" s="1641"/>
      <c r="O26" s="1080"/>
    </row>
    <row r="27" spans="2:30" ht="26.25" customHeight="1">
      <c r="B27" s="2404" t="s">
        <v>1083</v>
      </c>
      <c r="C27" s="2405"/>
      <c r="D27" s="2405"/>
      <c r="E27" s="2405"/>
      <c r="F27" s="1083">
        <v>450446</v>
      </c>
      <c r="G27" s="1083">
        <v>423671</v>
      </c>
      <c r="H27" s="1084">
        <f>F27/G27*100-100</f>
        <v>6.3197622683639025</v>
      </c>
      <c r="I27" s="1083">
        <v>397501</v>
      </c>
      <c r="J27" s="1083">
        <v>376748</v>
      </c>
      <c r="K27" s="1084">
        <f>I27/J27*100-100</f>
        <v>5.5084565810568336</v>
      </c>
      <c r="L27" s="1085">
        <f>IF(ISERROR(I27/F27),"-",I27/F27*100)</f>
        <v>88.246093871407453</v>
      </c>
      <c r="M27" s="1085">
        <f>IF(ISERROR(J27/G27),"-",J27/G27*100)</f>
        <v>88.924660880730571</v>
      </c>
      <c r="N27" s="779"/>
      <c r="O27" s="1080"/>
    </row>
    <row r="28" spans="2:30" ht="9.9499999999999993" hidden="1" customHeight="1" outlineLevel="1">
      <c r="B28" s="1643" t="s">
        <v>1042</v>
      </c>
      <c r="C28" s="1638"/>
      <c r="D28" s="1638"/>
      <c r="E28" s="1638"/>
      <c r="F28" s="1638"/>
      <c r="G28" s="1638"/>
      <c r="H28" s="1638"/>
      <c r="I28" s="1638"/>
      <c r="J28" s="1638"/>
      <c r="K28" s="1638"/>
      <c r="L28" s="1638"/>
      <c r="M28" s="1638"/>
    </row>
    <row r="29" spans="2:30" ht="9.9499999999999993" hidden="1" customHeight="1" outlineLevel="1">
      <c r="B29" s="1643" t="s">
        <v>1043</v>
      </c>
      <c r="C29" s="1081"/>
      <c r="D29" s="1638"/>
      <c r="E29" s="1638"/>
      <c r="F29" s="1638"/>
      <c r="G29" s="1638"/>
      <c r="H29" s="1638"/>
      <c r="I29" s="1638"/>
      <c r="J29" s="1638"/>
      <c r="K29" s="1638"/>
      <c r="L29" s="1638"/>
      <c r="M29" s="1638"/>
    </row>
    <row r="30" spans="2:30" ht="9.9499999999999993" hidden="1" customHeight="1" outlineLevel="1">
      <c r="B30" s="667" t="s">
        <v>427</v>
      </c>
      <c r="C30" s="1638"/>
      <c r="D30" s="1638"/>
      <c r="E30" s="1638"/>
      <c r="F30" s="1638"/>
      <c r="G30" s="1638"/>
      <c r="H30" s="1638"/>
      <c r="I30" s="1638"/>
      <c r="J30" s="1638"/>
      <c r="K30" s="1638"/>
      <c r="L30" s="1638"/>
      <c r="M30" s="1638"/>
    </row>
    <row r="31" spans="2:30" ht="9.9499999999999993" hidden="1" customHeight="1" outlineLevel="1">
      <c r="B31" s="667" t="s">
        <v>446</v>
      </c>
      <c r="C31" s="1638"/>
      <c r="D31" s="1638"/>
      <c r="E31" s="1638"/>
      <c r="F31" s="1638"/>
      <c r="G31" s="1638"/>
      <c r="H31" s="1638"/>
      <c r="I31" s="1638"/>
      <c r="J31" s="1638"/>
      <c r="K31" s="1638"/>
      <c r="L31" s="1638"/>
      <c r="M31" s="1638"/>
    </row>
    <row r="32" spans="2:30" ht="9.9499999999999993" customHeight="1" collapsed="1">
      <c r="C32" s="1638"/>
      <c r="D32" s="1638"/>
      <c r="E32" s="1638"/>
      <c r="F32" s="1638"/>
      <c r="G32" s="1638"/>
      <c r="H32" s="1638"/>
      <c r="I32" s="1638"/>
      <c r="J32" s="1642"/>
      <c r="K32" s="1638"/>
      <c r="L32" s="1638"/>
      <c r="M32" s="1638"/>
    </row>
    <row r="33" spans="2:36" ht="9.9499999999999993" customHeight="1">
      <c r="B33" s="667"/>
      <c r="C33" s="1017"/>
      <c r="D33" s="1638"/>
      <c r="E33" s="1638"/>
      <c r="F33" s="1638"/>
      <c r="G33" s="1638"/>
      <c r="H33" s="1638"/>
      <c r="I33" s="1638"/>
      <c r="J33" s="1642"/>
      <c r="K33" s="1638"/>
      <c r="L33" s="1638"/>
      <c r="M33" s="1638"/>
    </row>
    <row r="34" spans="2:36" ht="15.75" customHeight="1"/>
    <row r="35" spans="2:36" ht="15.75" customHeight="1"/>
    <row r="36" spans="2:36" ht="15.75" customHeight="1"/>
    <row r="37" spans="2:36" ht="12" customHeight="1">
      <c r="Q37" s="769" t="s">
        <v>1068</v>
      </c>
      <c r="T37" s="769" t="s">
        <v>1069</v>
      </c>
    </row>
    <row r="38" spans="2:36" ht="9" customHeight="1">
      <c r="Q38" s="769" t="s">
        <v>1067</v>
      </c>
      <c r="R38" s="769" t="s">
        <v>379</v>
      </c>
      <c r="T38" s="769" t="s">
        <v>1076</v>
      </c>
    </row>
    <row r="39" spans="2:36" ht="19.5" customHeight="1">
      <c r="Q39" s="769" t="s">
        <v>1070</v>
      </c>
      <c r="R39" s="769" t="s">
        <v>374</v>
      </c>
      <c r="T39" s="769" t="s">
        <v>1077</v>
      </c>
    </row>
    <row r="40" spans="2:36" ht="19.5" customHeight="1">
      <c r="Q40" s="1708" t="s">
        <v>1755</v>
      </c>
      <c r="R40" s="769" t="s">
        <v>385</v>
      </c>
      <c r="T40" s="769" t="s">
        <v>1078</v>
      </c>
    </row>
    <row r="41" spans="2:36" ht="19.5" customHeight="1">
      <c r="Q41" s="769" t="s">
        <v>1056</v>
      </c>
      <c r="R41" s="769" t="s">
        <v>383</v>
      </c>
      <c r="T41" s="769" t="s">
        <v>1079</v>
      </c>
    </row>
    <row r="42" spans="2:36" ht="19.5" customHeight="1">
      <c r="Q42" s="769" t="s">
        <v>1060</v>
      </c>
      <c r="R42" s="769" t="s">
        <v>389</v>
      </c>
    </row>
    <row r="43" spans="2:36" ht="19.5" customHeight="1">
      <c r="Q43" s="769" t="s">
        <v>1055</v>
      </c>
      <c r="R43" s="769" t="s">
        <v>382</v>
      </c>
      <c r="T43" s="1633" t="s">
        <v>1071</v>
      </c>
      <c r="U43" s="1634"/>
      <c r="V43" s="1060" t="s">
        <v>1080</v>
      </c>
      <c r="W43" s="1634"/>
      <c r="X43" s="1634"/>
      <c r="Y43" s="1634"/>
      <c r="Z43" s="1634"/>
      <c r="AA43" s="1634"/>
      <c r="AB43" s="1634"/>
      <c r="AC43" s="1634"/>
      <c r="AD43" s="1634"/>
      <c r="AE43" s="1634"/>
      <c r="AF43" s="1634"/>
      <c r="AG43" s="1634"/>
      <c r="AH43" s="1634"/>
      <c r="AI43" s="1634"/>
      <c r="AJ43" s="1635"/>
    </row>
    <row r="44" spans="2:36" ht="19.5" customHeight="1">
      <c r="Q44" s="769" t="s">
        <v>1061</v>
      </c>
      <c r="R44" s="769" t="s">
        <v>390</v>
      </c>
      <c r="T44" s="803"/>
      <c r="V44" s="769" t="s">
        <v>1081</v>
      </c>
      <c r="AJ44" s="1086"/>
    </row>
    <row r="45" spans="2:36" ht="19.5" customHeight="1">
      <c r="Q45" s="769" t="s">
        <v>1064</v>
      </c>
      <c r="R45" s="769" t="s">
        <v>392</v>
      </c>
      <c r="T45" s="803" t="s">
        <v>1072</v>
      </c>
      <c r="W45" s="1060" t="s">
        <v>1431</v>
      </c>
      <c r="AJ45" s="1086"/>
    </row>
    <row r="46" spans="2:36" ht="19.5" customHeight="1">
      <c r="Q46" s="769" t="s">
        <v>1057</v>
      </c>
      <c r="R46" s="769" t="s">
        <v>384</v>
      </c>
      <c r="T46" s="848"/>
      <c r="U46" s="849"/>
      <c r="V46" s="849"/>
      <c r="W46" s="849" t="s">
        <v>1082</v>
      </c>
      <c r="X46" s="849"/>
      <c r="Y46" s="849"/>
      <c r="Z46" s="849"/>
      <c r="AA46" s="849"/>
      <c r="AB46" s="849"/>
      <c r="AC46" s="849"/>
      <c r="AD46" s="849"/>
      <c r="AE46" s="849"/>
      <c r="AF46" s="849"/>
      <c r="AG46" s="849"/>
      <c r="AH46" s="849"/>
      <c r="AI46" s="849"/>
      <c r="AJ46" s="850"/>
    </row>
    <row r="47" spans="2:36" ht="19.5" customHeight="1">
      <c r="Q47" s="769" t="s">
        <v>1063</v>
      </c>
      <c r="R47" s="769" t="s">
        <v>393</v>
      </c>
      <c r="T47" s="1087" t="s">
        <v>1073</v>
      </c>
    </row>
    <row r="48" spans="2:36" ht="19.5" customHeight="1">
      <c r="Q48" s="769" t="s">
        <v>1059</v>
      </c>
      <c r="R48" s="769" t="s">
        <v>388</v>
      </c>
      <c r="T48" s="769" t="s">
        <v>1747</v>
      </c>
    </row>
    <row r="49" spans="17:18" ht="19.5" customHeight="1">
      <c r="Q49" s="769" t="s">
        <v>1058</v>
      </c>
      <c r="R49" s="769" t="s">
        <v>387</v>
      </c>
    </row>
    <row r="50" spans="17:18" ht="19.5" customHeight="1">
      <c r="Q50" s="769" t="s">
        <v>1054</v>
      </c>
      <c r="R50" s="769" t="s">
        <v>386</v>
      </c>
    </row>
    <row r="51" spans="17:18" ht="19.5" customHeight="1">
      <c r="Q51" s="769" t="s">
        <v>1052</v>
      </c>
      <c r="R51" s="769" t="s">
        <v>380</v>
      </c>
    </row>
    <row r="52" spans="17:18" ht="19.5" customHeight="1">
      <c r="Q52" s="769" t="s">
        <v>1062</v>
      </c>
      <c r="R52" s="769" t="s">
        <v>391</v>
      </c>
    </row>
    <row r="53" spans="17:18" ht="19.5" customHeight="1">
      <c r="Q53" s="769" t="s">
        <v>1065</v>
      </c>
      <c r="R53" s="769" t="s">
        <v>394</v>
      </c>
    </row>
    <row r="54" spans="17:18" ht="19.5" customHeight="1">
      <c r="Q54" s="769" t="s">
        <v>1066</v>
      </c>
      <c r="R54" s="769" t="s">
        <v>395</v>
      </c>
    </row>
    <row r="55" spans="17:18" ht="19.5" customHeight="1">
      <c r="Q55" s="769" t="s">
        <v>1053</v>
      </c>
      <c r="R55" s="769" t="s">
        <v>381</v>
      </c>
    </row>
  </sheetData>
  <sheetProtection algorithmName="SHA-512" hashValue="LokuvsQqHU0pVsk7nUNem/Zx6EqMgDdL62q7+HIQ9h2F4R5xvIZmb4NIOXcQPYTfG+R7LYEZoQjRAu0tsI4mWA==" saltValue="nhnW9NyKeDtP+IMXT2rIbQ==" spinCount="100000" sheet="1" objects="1" scenarios="1"/>
  <customSheetViews>
    <customSheetView guid="{06451E13-97D0-44F4-875B-E8D80B2F1CF1}" scale="130" showPageBreaks="1" fitToPage="1" printArea="1" hiddenRows="1" view="pageBreakPreview" topLeftCell="B1">
      <selection activeCell="M27" sqref="M27"/>
      <pageMargins left="0" right="0" top="0" bottom="0" header="0" footer="0"/>
      <printOptions horizontalCentered="1" verticalCentered="1"/>
      <pageSetup paperSize="9" orientation="landscape" r:id="rId1"/>
      <headerFooter scaleWithDoc="0" alignWithMargins="0">
        <oddFooter>&amp;C&amp;"Arial,標準"&amp;12 9</oddFooter>
      </headerFooter>
    </customSheetView>
  </customSheetViews>
  <mergeCells count="5">
    <mergeCell ref="B27:E27"/>
    <mergeCell ref="D5:E5"/>
    <mergeCell ref="F5:H5"/>
    <mergeCell ref="I5:K5"/>
    <mergeCell ref="L5:M5"/>
  </mergeCells>
  <phoneticPr fontId="29"/>
  <hyperlinks>
    <hyperlink ref="V43" r:id="rId2"/>
  </hyperlinks>
  <printOptions horizontalCentered="1" verticalCentered="1"/>
  <pageMargins left="0" right="0" top="0" bottom="0" header="0" footer="0"/>
  <pageSetup paperSize="9" orientation="landscape" r:id="rId3"/>
  <headerFooter scaleWithDoc="0" alignWithMargins="0">
    <oddFooter>&amp;C&amp;"Arial,標準"&amp;12 9</oddFooter>
  </headerFooter>
  <drawing r:id="rId4"/>
  <legacy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K34"/>
  <sheetViews>
    <sheetView view="pageBreakPreview" zoomScale="85" zoomScaleNormal="100" zoomScaleSheetLayoutView="85" workbookViewId="0">
      <selection activeCell="T1" sqref="T1:BD1048576"/>
    </sheetView>
  </sheetViews>
  <sheetFormatPr defaultColWidth="7.5703125" defaultRowHeight="19.5" customHeight="1" outlineLevelRow="1"/>
  <cols>
    <col min="1" max="1" width="9.5703125" style="669" customWidth="1"/>
    <col min="2" max="2" width="12.5703125" style="669" customWidth="1"/>
    <col min="3" max="3" width="9.85546875" style="669" customWidth="1"/>
    <col min="4" max="9" width="7.5703125" style="669" customWidth="1"/>
    <col min="10" max="10" width="8.85546875" style="669" customWidth="1"/>
    <col min="11" max="16" width="7.5703125" style="669" customWidth="1"/>
    <col min="17" max="18" width="8.85546875" style="669" customWidth="1"/>
    <col min="19" max="19" width="8" style="669" customWidth="1"/>
    <col min="20" max="20" width="17" style="669" hidden="1" customWidth="1"/>
    <col min="21" max="21" width="0" style="669" hidden="1" customWidth="1"/>
    <col min="22" max="22" width="11.85546875" style="669" hidden="1" customWidth="1"/>
    <col min="23" max="56" width="0" style="669" hidden="1" customWidth="1"/>
    <col min="57" max="16384" width="7.5703125" style="669"/>
  </cols>
  <sheetData>
    <row r="1" spans="1:20" ht="46.5" customHeight="1">
      <c r="A1" s="668"/>
      <c r="B1" s="668"/>
      <c r="C1" s="668"/>
      <c r="D1" s="668"/>
      <c r="E1" s="668"/>
      <c r="F1" s="668"/>
      <c r="G1" s="668"/>
      <c r="H1" s="668"/>
      <c r="I1" s="668"/>
      <c r="J1" s="668"/>
      <c r="K1" s="668"/>
      <c r="L1" s="668"/>
      <c r="M1" s="668"/>
      <c r="N1" s="668"/>
      <c r="O1" s="668"/>
      <c r="P1" s="668"/>
      <c r="Q1" s="668"/>
      <c r="R1" s="668"/>
      <c r="S1" s="668"/>
    </row>
    <row r="2" spans="1:20" ht="19.5" customHeight="1">
      <c r="A2" s="671"/>
      <c r="B2" s="671"/>
      <c r="C2" s="668"/>
      <c r="D2" s="668"/>
      <c r="E2" s="668"/>
      <c r="F2" s="668"/>
      <c r="G2" s="668"/>
      <c r="H2" s="668"/>
      <c r="I2" s="668"/>
      <c r="J2" s="668"/>
      <c r="K2" s="668"/>
      <c r="L2" s="668"/>
      <c r="M2" s="668"/>
      <c r="N2" s="668"/>
      <c r="O2" s="668"/>
      <c r="P2" s="668"/>
      <c r="Q2" s="668"/>
      <c r="R2" s="668"/>
      <c r="S2" s="668"/>
    </row>
    <row r="3" spans="1:20" ht="9.75" customHeight="1">
      <c r="A3" s="668"/>
      <c r="B3" s="668"/>
      <c r="C3" s="668"/>
      <c r="D3" s="668"/>
      <c r="E3" s="668"/>
      <c r="F3" s="668"/>
      <c r="G3" s="668"/>
      <c r="H3" s="668"/>
      <c r="I3" s="668"/>
      <c r="J3" s="668"/>
      <c r="K3" s="668"/>
      <c r="L3" s="668"/>
      <c r="M3" s="668"/>
      <c r="N3" s="668"/>
      <c r="O3" s="668"/>
      <c r="P3" s="668"/>
      <c r="Q3" s="668"/>
      <c r="R3" s="668"/>
      <c r="S3" s="668"/>
    </row>
    <row r="4" spans="1:20" ht="11.25" customHeight="1">
      <c r="A4" s="668"/>
      <c r="B4" s="668"/>
      <c r="C4" s="668"/>
      <c r="D4" s="668"/>
      <c r="E4" s="668"/>
      <c r="F4" s="668"/>
      <c r="G4" s="668"/>
      <c r="H4" s="668"/>
      <c r="I4" s="668"/>
      <c r="J4" s="668"/>
      <c r="K4" s="668"/>
      <c r="L4" s="668"/>
      <c r="M4" s="668"/>
      <c r="N4" s="668"/>
      <c r="O4" s="668"/>
      <c r="P4" s="668"/>
      <c r="Q4" s="668"/>
      <c r="R4" s="782" t="s">
        <v>1706</v>
      </c>
      <c r="S4" s="668"/>
    </row>
    <row r="5" spans="1:20" s="1089" customFormat="1" ht="32.1" customHeight="1">
      <c r="A5" s="677"/>
      <c r="B5" s="2411"/>
      <c r="C5" s="2411"/>
      <c r="D5" s="1078" t="s">
        <v>753</v>
      </c>
      <c r="E5" s="1078" t="s">
        <v>736</v>
      </c>
      <c r="F5" s="1078" t="s">
        <v>754</v>
      </c>
      <c r="G5" s="1078" t="s">
        <v>755</v>
      </c>
      <c r="H5" s="1078" t="s">
        <v>756</v>
      </c>
      <c r="I5" s="1078" t="s">
        <v>757</v>
      </c>
      <c r="J5" s="1088" t="s">
        <v>737</v>
      </c>
      <c r="K5" s="1078" t="s">
        <v>758</v>
      </c>
      <c r="L5" s="1078" t="s">
        <v>759</v>
      </c>
      <c r="M5" s="1078" t="s">
        <v>760</v>
      </c>
      <c r="N5" s="1078" t="s">
        <v>761</v>
      </c>
      <c r="O5" s="1078" t="s">
        <v>762</v>
      </c>
      <c r="P5" s="1078" t="s">
        <v>763</v>
      </c>
      <c r="Q5" s="1109" t="s">
        <v>738</v>
      </c>
      <c r="R5" s="1109" t="s">
        <v>739</v>
      </c>
      <c r="S5" s="677"/>
    </row>
    <row r="6" spans="1:20" ht="15" hidden="1" customHeight="1" outlineLevel="1">
      <c r="A6" s="668"/>
      <c r="B6" s="1090"/>
      <c r="C6" s="829">
        <v>2023.03</v>
      </c>
      <c r="D6" s="657">
        <v>274614</v>
      </c>
      <c r="E6" s="657">
        <v>198401</v>
      </c>
      <c r="F6" s="657">
        <v>238574</v>
      </c>
      <c r="G6" s="657">
        <v>223724</v>
      </c>
      <c r="H6" s="657">
        <v>173070</v>
      </c>
      <c r="I6" s="657">
        <v>247861</v>
      </c>
      <c r="J6" s="657">
        <f>SUM(D6:I6)</f>
        <v>1356244</v>
      </c>
      <c r="K6" s="657">
        <v>249529</v>
      </c>
      <c r="L6" s="657">
        <v>266158</v>
      </c>
      <c r="M6" s="657">
        <v>229030</v>
      </c>
      <c r="N6" s="657">
        <v>225117</v>
      </c>
      <c r="O6" s="657">
        <v>282743</v>
      </c>
      <c r="P6" s="657">
        <v>349777</v>
      </c>
      <c r="Q6" s="657">
        <f>SUM(K6:P6)</f>
        <v>1602354</v>
      </c>
      <c r="R6" s="1091">
        <f>J6+Q6</f>
        <v>2958598</v>
      </c>
      <c r="S6" s="668"/>
    </row>
    <row r="7" spans="1:20" ht="23.1" customHeight="1" collapsed="1">
      <c r="A7" s="668"/>
      <c r="B7" s="2412" t="s">
        <v>740</v>
      </c>
      <c r="C7" s="1102">
        <v>2024.3</v>
      </c>
      <c r="D7" s="1113">
        <v>293022</v>
      </c>
      <c r="E7" s="1113">
        <v>227077</v>
      </c>
      <c r="F7" s="1113">
        <v>274839</v>
      </c>
      <c r="G7" s="1114">
        <v>250981</v>
      </c>
      <c r="H7" s="1114">
        <v>210876</v>
      </c>
      <c r="I7" s="1114">
        <v>276840</v>
      </c>
      <c r="J7" s="1110">
        <f>SUM(D7:I7)</f>
        <v>1533635</v>
      </c>
      <c r="K7" s="1114">
        <v>252343</v>
      </c>
      <c r="L7" s="1114">
        <v>277041</v>
      </c>
      <c r="M7" s="1114">
        <v>235504</v>
      </c>
      <c r="N7" s="1114">
        <v>212848</v>
      </c>
      <c r="O7" s="1114">
        <v>266985</v>
      </c>
      <c r="P7" s="1114">
        <v>306173</v>
      </c>
      <c r="Q7" s="1110">
        <f>SUM(K7:P7)</f>
        <v>1550894</v>
      </c>
      <c r="R7" s="1111">
        <f>J7+Q7</f>
        <v>3084529</v>
      </c>
      <c r="S7" s="668"/>
    </row>
    <row r="8" spans="1:20" ht="23.1" customHeight="1">
      <c r="A8" s="668"/>
      <c r="B8" s="2413"/>
      <c r="C8" s="1101" t="s">
        <v>741</v>
      </c>
      <c r="D8" s="1112">
        <f>(ROUND(D7/D6,3)-1)*100</f>
        <v>6.6999999999999948</v>
      </c>
      <c r="E8" s="1112">
        <f t="shared" ref="E8:Q8" si="0">(ROUND(E7/E6,3)-1)*100</f>
        <v>14.500000000000002</v>
      </c>
      <c r="F8" s="1112">
        <f>(ROUND(F7/F6,3)-1)*100</f>
        <v>15.199999999999992</v>
      </c>
      <c r="G8" s="1112">
        <f t="shared" si="0"/>
        <v>12.20000000000001</v>
      </c>
      <c r="H8" s="1112">
        <f t="shared" si="0"/>
        <v>21.799999999999997</v>
      </c>
      <c r="I8" s="1112">
        <f t="shared" si="0"/>
        <v>11.7</v>
      </c>
      <c r="J8" s="1112">
        <f t="shared" si="0"/>
        <v>13.100000000000001</v>
      </c>
      <c r="K8" s="1112">
        <f t="shared" si="0"/>
        <v>1.0999999999999899</v>
      </c>
      <c r="L8" s="1112">
        <f t="shared" si="0"/>
        <v>4.0999999999999925</v>
      </c>
      <c r="M8" s="1112">
        <f t="shared" si="0"/>
        <v>2.8000000000000025</v>
      </c>
      <c r="N8" s="1112">
        <f t="shared" si="0"/>
        <v>-5.5000000000000053</v>
      </c>
      <c r="O8" s="1112">
        <f t="shared" si="0"/>
        <v>-5.600000000000005</v>
      </c>
      <c r="P8" s="1112">
        <f t="shared" si="0"/>
        <v>-12.5</v>
      </c>
      <c r="Q8" s="1112">
        <f t="shared" si="0"/>
        <v>-3.2000000000000028</v>
      </c>
      <c r="R8" s="1112">
        <f>(ROUND(R7/R6,3)-1)*100</f>
        <v>4.2999999999999927</v>
      </c>
      <c r="S8" s="668"/>
    </row>
    <row r="9" spans="1:20" ht="23.1" customHeight="1">
      <c r="A9" s="668"/>
      <c r="B9" s="1092"/>
      <c r="C9" s="1102">
        <v>2025.3</v>
      </c>
      <c r="D9" s="1113">
        <v>259384</v>
      </c>
      <c r="E9" s="1113">
        <v>238380</v>
      </c>
      <c r="F9" s="1113">
        <v>255968</v>
      </c>
      <c r="G9" s="1114">
        <v>248875</v>
      </c>
      <c r="H9" s="1114">
        <v>227094</v>
      </c>
      <c r="I9" s="1114">
        <v>258112</v>
      </c>
      <c r="J9" s="1113">
        <f>SUM(D9:I9)</f>
        <v>1487813</v>
      </c>
      <c r="K9" s="1114">
        <v>291463</v>
      </c>
      <c r="L9" s="1114">
        <v>300874</v>
      </c>
      <c r="M9" s="1114">
        <v>246285</v>
      </c>
      <c r="N9" s="1114">
        <v>255828</v>
      </c>
      <c r="O9" s="1114">
        <v>285371</v>
      </c>
      <c r="P9" s="1114">
        <v>334368</v>
      </c>
      <c r="Q9" s="1113">
        <f>SUM(K9:P9)</f>
        <v>1714189</v>
      </c>
      <c r="R9" s="1115">
        <f>J9+Q9</f>
        <v>3202002</v>
      </c>
      <c r="S9" s="668"/>
    </row>
    <row r="10" spans="1:20" ht="23.1" customHeight="1">
      <c r="A10" s="668"/>
      <c r="B10" s="1092"/>
      <c r="C10" s="1103" t="s">
        <v>741</v>
      </c>
      <c r="D10" s="1112">
        <f>(ROUND(D9/D7,3)-1)*100</f>
        <v>-11.5</v>
      </c>
      <c r="E10" s="1112">
        <f t="shared" ref="E10:R10" si="1">(ROUND(E9/E7,3)-1)*100</f>
        <v>5.0000000000000044</v>
      </c>
      <c r="F10" s="1112">
        <f t="shared" si="1"/>
        <v>-6.899999999999995</v>
      </c>
      <c r="G10" s="1112">
        <f t="shared" si="1"/>
        <v>-0.80000000000000071</v>
      </c>
      <c r="H10" s="1112">
        <f t="shared" si="1"/>
        <v>7.6999999999999957</v>
      </c>
      <c r="I10" s="1112">
        <f t="shared" si="1"/>
        <v>-6.7999999999999954</v>
      </c>
      <c r="J10" s="1112">
        <f t="shared" si="1"/>
        <v>-3.0000000000000027</v>
      </c>
      <c r="K10" s="1112">
        <f t="shared" si="1"/>
        <v>15.500000000000004</v>
      </c>
      <c r="L10" s="1112">
        <f t="shared" si="1"/>
        <v>8.6000000000000085</v>
      </c>
      <c r="M10" s="1112">
        <f t="shared" si="1"/>
        <v>4.6000000000000041</v>
      </c>
      <c r="N10" s="1112">
        <f t="shared" si="1"/>
        <v>20.199999999999996</v>
      </c>
      <c r="O10" s="1112">
        <f t="shared" si="1"/>
        <v>6.899999999999995</v>
      </c>
      <c r="P10" s="1112">
        <f t="shared" si="1"/>
        <v>9.2000000000000082</v>
      </c>
      <c r="Q10" s="1112">
        <f t="shared" si="1"/>
        <v>10.499999999999998</v>
      </c>
      <c r="R10" s="1112">
        <f t="shared" si="1"/>
        <v>3.8000000000000034</v>
      </c>
      <c r="S10" s="668"/>
    </row>
    <row r="11" spans="1:20" ht="23.1" customHeight="1">
      <c r="A11" s="668"/>
      <c r="B11" s="1090"/>
      <c r="C11" s="1102">
        <v>2026.3</v>
      </c>
      <c r="D11" s="1113">
        <v>327914</v>
      </c>
      <c r="E11" s="1113">
        <v>290251</v>
      </c>
      <c r="F11" s="1113">
        <v>289533</v>
      </c>
      <c r="G11" s="1114">
        <v>306955</v>
      </c>
      <c r="H11" s="1114">
        <v>233141</v>
      </c>
      <c r="I11" s="1114">
        <v>276888</v>
      </c>
      <c r="J11" s="1113">
        <f>SUM(D11:I11)</f>
        <v>1724682</v>
      </c>
      <c r="K11" s="1114">
        <v>314395</v>
      </c>
      <c r="L11" s="1114">
        <v>292696</v>
      </c>
      <c r="M11" s="1114">
        <v>256699</v>
      </c>
      <c r="N11" s="1114">
        <v>272007</v>
      </c>
      <c r="O11" s="1114">
        <v>294698</v>
      </c>
      <c r="P11" s="1114">
        <v>349260</v>
      </c>
      <c r="Q11" s="1113">
        <f>SUM(K11:P11)</f>
        <v>1779755</v>
      </c>
      <c r="R11" s="1115">
        <f>J11+Q11</f>
        <v>3504437</v>
      </c>
      <c r="S11" s="668"/>
    </row>
    <row r="12" spans="1:20" ht="23.1" customHeight="1">
      <c r="A12" s="668"/>
      <c r="B12" s="1090"/>
      <c r="C12" s="1104" t="s">
        <v>742</v>
      </c>
      <c r="D12" s="1116">
        <f>IF(D11="-","-",(ROUND(D11/D9,3)-1)*100)</f>
        <v>26.400000000000002</v>
      </c>
      <c r="E12" s="1116">
        <f t="shared" ref="E12:R12" si="2">IF(E11="-","-",(ROUND(E11/E9,3)-1)*100)</f>
        <v>21.799999999999997</v>
      </c>
      <c r="F12" s="1116">
        <f>IF(F11="-","-",(ROUND(F11/F9,3)-1)*100)</f>
        <v>13.100000000000001</v>
      </c>
      <c r="G12" s="1116">
        <f>IF(G11="-","-",(ROUND(G11/G9,3)-1)*100)</f>
        <v>23.300000000000011</v>
      </c>
      <c r="H12" s="1116">
        <f t="shared" si="2"/>
        <v>2.6999999999999913</v>
      </c>
      <c r="I12" s="1116">
        <f t="shared" si="2"/>
        <v>7.2999999999999954</v>
      </c>
      <c r="J12" s="1116">
        <f t="shared" si="2"/>
        <v>15.900000000000002</v>
      </c>
      <c r="K12" s="1116">
        <f>IF(K11="-","-",(ROUND(K11/K9,3)-1)*100)</f>
        <v>7.8999999999999959</v>
      </c>
      <c r="L12" s="1116">
        <f t="shared" si="2"/>
        <v>-2.7000000000000024</v>
      </c>
      <c r="M12" s="1116">
        <f>IF(M11="-","-",(ROUND(M11/M9,3)-1)*100)</f>
        <v>4.2000000000000037</v>
      </c>
      <c r="N12" s="1116">
        <f>IF(N11="-","-",(ROUND(N11/N9,3)-1)*100)</f>
        <v>6.2999999999999945</v>
      </c>
      <c r="O12" s="1116">
        <f>IF(O11="-","-",(ROUND(O11/O9,3)-1)*100)</f>
        <v>3.2999999999999918</v>
      </c>
      <c r="P12" s="1116">
        <f t="shared" si="2"/>
        <v>4.4999999999999929</v>
      </c>
      <c r="Q12" s="1116">
        <f t="shared" si="2"/>
        <v>3.8000000000000034</v>
      </c>
      <c r="R12" s="1116">
        <f t="shared" si="2"/>
        <v>9.4000000000000092</v>
      </c>
      <c r="S12" s="668"/>
    </row>
    <row r="13" spans="1:20" ht="23.1" hidden="1" customHeight="1" outlineLevel="1">
      <c r="A13" s="668"/>
      <c r="B13" s="1093"/>
      <c r="C13" s="1094">
        <v>2023.3</v>
      </c>
      <c r="D13" s="1117">
        <v>163077</v>
      </c>
      <c r="E13" s="1117">
        <v>131149</v>
      </c>
      <c r="F13" s="1117">
        <v>160958</v>
      </c>
      <c r="G13" s="1117">
        <v>156355</v>
      </c>
      <c r="H13" s="1117">
        <v>124811</v>
      </c>
      <c r="I13" s="1117">
        <v>172270</v>
      </c>
      <c r="J13" s="1117">
        <f>SUM(D13:I13)</f>
        <v>908620</v>
      </c>
      <c r="K13" s="1117">
        <v>161241</v>
      </c>
      <c r="L13" s="1117">
        <v>163985</v>
      </c>
      <c r="M13" s="1117">
        <v>130649</v>
      </c>
      <c r="N13" s="1117">
        <v>134243</v>
      </c>
      <c r="O13" s="1117">
        <v>165277</v>
      </c>
      <c r="P13" s="1117">
        <v>199973</v>
      </c>
      <c r="Q13" s="1117">
        <f>SUM(K13:P13)</f>
        <v>955368</v>
      </c>
      <c r="R13" s="1118">
        <f>J13+Q13</f>
        <v>1863988</v>
      </c>
      <c r="S13" s="668"/>
    </row>
    <row r="14" spans="1:20" ht="23.1" customHeight="1" collapsed="1">
      <c r="A14" s="668"/>
      <c r="B14" s="2398" t="s">
        <v>743</v>
      </c>
      <c r="C14" s="1105">
        <v>2024.3</v>
      </c>
      <c r="D14" s="1119">
        <v>162121</v>
      </c>
      <c r="E14" s="1119">
        <v>141727</v>
      </c>
      <c r="F14" s="1119">
        <v>171557</v>
      </c>
      <c r="G14" s="1119">
        <v>158822</v>
      </c>
      <c r="H14" s="1119">
        <v>136832</v>
      </c>
      <c r="I14" s="1119">
        <v>179444</v>
      </c>
      <c r="J14" s="1119">
        <f>SUM(D14:I14)</f>
        <v>950503</v>
      </c>
      <c r="K14" s="1119">
        <v>162691</v>
      </c>
      <c r="L14" s="1119">
        <v>176359</v>
      </c>
      <c r="M14" s="1119">
        <v>145068</v>
      </c>
      <c r="N14" s="1119">
        <v>144694</v>
      </c>
      <c r="O14" s="1119">
        <v>188604</v>
      </c>
      <c r="P14" s="1119">
        <v>218724</v>
      </c>
      <c r="Q14" s="1119">
        <f>SUM(K14:P14)</f>
        <v>1036140</v>
      </c>
      <c r="R14" s="1120">
        <f>J14+Q14</f>
        <v>1986643</v>
      </c>
      <c r="S14" s="668"/>
    </row>
    <row r="15" spans="1:20" ht="23.1" customHeight="1">
      <c r="A15" s="668"/>
      <c r="B15" s="2414"/>
      <c r="C15" s="1103" t="s">
        <v>744</v>
      </c>
      <c r="D15" s="1112">
        <f>(ROUND(D14/D13,3)-1)*100</f>
        <v>-0.60000000000000053</v>
      </c>
      <c r="E15" s="1112">
        <f t="shared" ref="E15:R15" si="3">(ROUND(E14/E13,3)-1)*100</f>
        <v>8.0999999999999961</v>
      </c>
      <c r="F15" s="1112">
        <f t="shared" si="3"/>
        <v>6.6000000000000059</v>
      </c>
      <c r="G15" s="1112">
        <f t="shared" si="3"/>
        <v>1.6000000000000014</v>
      </c>
      <c r="H15" s="1112">
        <f t="shared" si="3"/>
        <v>9.6000000000000085</v>
      </c>
      <c r="I15" s="1112">
        <f t="shared" si="3"/>
        <v>4.2000000000000037</v>
      </c>
      <c r="J15" s="1112">
        <f>(ROUND(J14/J13,3)-1)*100</f>
        <v>4.6000000000000041</v>
      </c>
      <c r="K15" s="1112">
        <f t="shared" si="3"/>
        <v>0.8999999999999897</v>
      </c>
      <c r="L15" s="1112">
        <f t="shared" si="3"/>
        <v>7.4999999999999956</v>
      </c>
      <c r="M15" s="1112">
        <f t="shared" si="3"/>
        <v>11.000000000000011</v>
      </c>
      <c r="N15" s="1112">
        <f t="shared" si="3"/>
        <v>7.8000000000000069</v>
      </c>
      <c r="O15" s="1112">
        <f t="shared" si="3"/>
        <v>14.100000000000001</v>
      </c>
      <c r="P15" s="1112">
        <f t="shared" si="3"/>
        <v>9.4000000000000092</v>
      </c>
      <c r="Q15" s="1112">
        <f t="shared" si="3"/>
        <v>8.4999999999999964</v>
      </c>
      <c r="R15" s="1112">
        <f t="shared" si="3"/>
        <v>6.6000000000000059</v>
      </c>
      <c r="S15" s="668"/>
      <c r="T15" s="1095"/>
    </row>
    <row r="16" spans="1:20" ht="23.1" customHeight="1">
      <c r="A16" s="668"/>
      <c r="B16" s="1092"/>
      <c r="C16" s="1102">
        <v>2025.3</v>
      </c>
      <c r="D16" s="1113">
        <v>176964</v>
      </c>
      <c r="E16" s="1113">
        <v>171292</v>
      </c>
      <c r="F16" s="1113">
        <v>181720</v>
      </c>
      <c r="G16" s="1114">
        <v>175922</v>
      </c>
      <c r="H16" s="1114">
        <v>156107</v>
      </c>
      <c r="I16" s="1114">
        <v>176284</v>
      </c>
      <c r="J16" s="1113">
        <f>SUM(D16:I16)</f>
        <v>1038289</v>
      </c>
      <c r="K16" s="1121">
        <v>194290</v>
      </c>
      <c r="L16" s="1114">
        <v>190922</v>
      </c>
      <c r="M16" s="1114">
        <v>147754</v>
      </c>
      <c r="N16" s="1121">
        <v>165560</v>
      </c>
      <c r="O16" s="1114">
        <v>188436</v>
      </c>
      <c r="P16" s="1114">
        <v>219907</v>
      </c>
      <c r="Q16" s="1113">
        <f>SUM(K16:P16)</f>
        <v>1106869</v>
      </c>
      <c r="R16" s="1115">
        <f>J16+Q16</f>
        <v>2145158</v>
      </c>
      <c r="S16" s="668"/>
    </row>
    <row r="17" spans="1:37" ht="23.1" customHeight="1">
      <c r="A17" s="668"/>
      <c r="B17" s="1092"/>
      <c r="C17" s="1103" t="s">
        <v>742</v>
      </c>
      <c r="D17" s="1112">
        <f t="shared" ref="D17:R17" si="4">(ROUND(D16/D14,3)-1)*100</f>
        <v>9.2000000000000082</v>
      </c>
      <c r="E17" s="1112">
        <f t="shared" si="4"/>
        <v>20.900000000000006</v>
      </c>
      <c r="F17" s="1112">
        <f t="shared" si="4"/>
        <v>5.8999999999999941</v>
      </c>
      <c r="G17" s="1112">
        <f t="shared" si="4"/>
        <v>10.80000000000001</v>
      </c>
      <c r="H17" s="1112">
        <f t="shared" si="4"/>
        <v>14.100000000000001</v>
      </c>
      <c r="I17" s="1112">
        <f t="shared" si="4"/>
        <v>-1.8000000000000016</v>
      </c>
      <c r="J17" s="1112">
        <f>(ROUND(J16/J14,3)-1)*100</f>
        <v>9.2000000000000082</v>
      </c>
      <c r="K17" s="1112">
        <f t="shared" si="4"/>
        <v>19.399999999999995</v>
      </c>
      <c r="L17" s="1112">
        <f t="shared" si="4"/>
        <v>8.2999999999999972</v>
      </c>
      <c r="M17" s="1112">
        <f t="shared" si="4"/>
        <v>1.8999999999999906</v>
      </c>
      <c r="N17" s="1112">
        <f t="shared" si="4"/>
        <v>14.399999999999991</v>
      </c>
      <c r="O17" s="1112">
        <f t="shared" si="4"/>
        <v>-0.10000000000000009</v>
      </c>
      <c r="P17" s="1112">
        <f t="shared" si="4"/>
        <v>0.49999999999998934</v>
      </c>
      <c r="Q17" s="1112">
        <f t="shared" si="4"/>
        <v>6.800000000000006</v>
      </c>
      <c r="R17" s="1112">
        <f t="shared" si="4"/>
        <v>8.0000000000000071</v>
      </c>
      <c r="S17" s="668"/>
    </row>
    <row r="18" spans="1:37" ht="23.1" customHeight="1">
      <c r="A18" s="668"/>
      <c r="B18" s="1090"/>
      <c r="C18" s="1102">
        <v>2026.3</v>
      </c>
      <c r="D18" s="1113">
        <v>200476</v>
      </c>
      <c r="E18" s="1113">
        <v>187194</v>
      </c>
      <c r="F18" s="1113">
        <v>183429</v>
      </c>
      <c r="G18" s="1114">
        <v>203188</v>
      </c>
      <c r="H18" s="1114">
        <v>162263</v>
      </c>
      <c r="I18" s="1114">
        <v>194631</v>
      </c>
      <c r="J18" s="1114">
        <f>IF(I18="-","-",SUM(D18:I18))</f>
        <v>1131181</v>
      </c>
      <c r="K18" s="1121">
        <v>216185</v>
      </c>
      <c r="L18" s="1114">
        <v>199242</v>
      </c>
      <c r="M18" s="1114">
        <v>169328</v>
      </c>
      <c r="N18" s="1121">
        <v>189320</v>
      </c>
      <c r="O18" s="1114">
        <v>205104</v>
      </c>
      <c r="P18" s="1114">
        <v>237206</v>
      </c>
      <c r="Q18" s="1114">
        <f>IF(P18="-","-",SUM(K18:P18))</f>
        <v>1216385</v>
      </c>
      <c r="R18" s="1114">
        <f>IF(P18="-","-",J18+Q18)</f>
        <v>2347566</v>
      </c>
      <c r="S18" s="668"/>
    </row>
    <row r="19" spans="1:37" ht="23.1" customHeight="1">
      <c r="A19" s="668"/>
      <c r="B19" s="1093"/>
      <c r="C19" s="1106" t="s">
        <v>741</v>
      </c>
      <c r="D19" s="1122">
        <f>IF(D18="-","-",(ROUND(D18/D16,3)-1)*100)</f>
        <v>13.3</v>
      </c>
      <c r="E19" s="1122">
        <f t="shared" ref="E19:R19" si="5">IF(E18="-","-",(ROUND(E18/E16,3)-1)*100)</f>
        <v>9.2999999999999972</v>
      </c>
      <c r="F19" s="1122">
        <f t="shared" si="5"/>
        <v>0.8999999999999897</v>
      </c>
      <c r="G19" s="1122">
        <f t="shared" si="5"/>
        <v>15.500000000000004</v>
      </c>
      <c r="H19" s="1122">
        <f t="shared" si="5"/>
        <v>3.8999999999999924</v>
      </c>
      <c r="I19" s="1122">
        <f t="shared" si="5"/>
        <v>10.400000000000009</v>
      </c>
      <c r="J19" s="1122">
        <f t="shared" si="5"/>
        <v>8.8999999999999968</v>
      </c>
      <c r="K19" s="1122">
        <f t="shared" si="5"/>
        <v>11.299999999999999</v>
      </c>
      <c r="L19" s="1122">
        <f t="shared" si="5"/>
        <v>4.4000000000000039</v>
      </c>
      <c r="M19" s="1122">
        <f t="shared" si="5"/>
        <v>14.599999999999991</v>
      </c>
      <c r="N19" s="1122">
        <f t="shared" si="5"/>
        <v>14.399999999999991</v>
      </c>
      <c r="O19" s="1122">
        <f t="shared" si="5"/>
        <v>8.8000000000000078</v>
      </c>
      <c r="P19" s="1122">
        <f>IF(P18="-","-",(ROUND(P18/P16,3)-1)*100)</f>
        <v>7.8999999999999959</v>
      </c>
      <c r="Q19" s="1122">
        <f t="shared" si="5"/>
        <v>9.8999999999999986</v>
      </c>
      <c r="R19" s="1122">
        <f t="shared" si="5"/>
        <v>9.4000000000000092</v>
      </c>
      <c r="S19" s="668"/>
    </row>
    <row r="20" spans="1:37" ht="23.1" customHeight="1">
      <c r="A20" s="668"/>
      <c r="B20" s="2413" t="s">
        <v>745</v>
      </c>
      <c r="C20" s="1105">
        <v>2024.3</v>
      </c>
      <c r="D20" s="1123">
        <f>ROUND(D14/D7,3)*100</f>
        <v>55.300000000000004</v>
      </c>
      <c r="E20" s="1123">
        <f t="shared" ref="E20:R20" si="6">ROUND(E14/E7,3)*100</f>
        <v>62.4</v>
      </c>
      <c r="F20" s="1123">
        <f t="shared" si="6"/>
        <v>62.4</v>
      </c>
      <c r="G20" s="1123">
        <f t="shared" si="6"/>
        <v>63.3</v>
      </c>
      <c r="H20" s="1123">
        <f t="shared" si="6"/>
        <v>64.900000000000006</v>
      </c>
      <c r="I20" s="1123">
        <f t="shared" si="6"/>
        <v>64.8</v>
      </c>
      <c r="J20" s="1123">
        <f t="shared" si="6"/>
        <v>62</v>
      </c>
      <c r="K20" s="1123">
        <f t="shared" si="6"/>
        <v>64.5</v>
      </c>
      <c r="L20" s="1123">
        <f t="shared" si="6"/>
        <v>63.7</v>
      </c>
      <c r="M20" s="1123">
        <f t="shared" si="6"/>
        <v>61.6</v>
      </c>
      <c r="N20" s="1123">
        <f t="shared" si="6"/>
        <v>68</v>
      </c>
      <c r="O20" s="1123">
        <f t="shared" si="6"/>
        <v>70.599999999999994</v>
      </c>
      <c r="P20" s="1123">
        <f t="shared" si="6"/>
        <v>71.399999999999991</v>
      </c>
      <c r="Q20" s="1123">
        <f t="shared" si="6"/>
        <v>66.8</v>
      </c>
      <c r="R20" s="1123">
        <f t="shared" si="6"/>
        <v>64.400000000000006</v>
      </c>
      <c r="S20" s="668"/>
    </row>
    <row r="21" spans="1:37" ht="23.1" customHeight="1">
      <c r="A21" s="668"/>
      <c r="B21" s="2413"/>
      <c r="C21" s="1107">
        <v>2025.3</v>
      </c>
      <c r="D21" s="1112">
        <f t="shared" ref="D21:R21" si="7">ROUND(D16/D9,3)*100</f>
        <v>68.2</v>
      </c>
      <c r="E21" s="1112">
        <f t="shared" si="7"/>
        <v>71.899999999999991</v>
      </c>
      <c r="F21" s="1112">
        <f t="shared" si="7"/>
        <v>71</v>
      </c>
      <c r="G21" s="1112">
        <f t="shared" si="7"/>
        <v>70.7</v>
      </c>
      <c r="H21" s="1112">
        <f t="shared" si="7"/>
        <v>68.7</v>
      </c>
      <c r="I21" s="1112">
        <f t="shared" si="7"/>
        <v>68.300000000000011</v>
      </c>
      <c r="J21" s="1112">
        <f t="shared" si="7"/>
        <v>69.8</v>
      </c>
      <c r="K21" s="1112">
        <f t="shared" si="7"/>
        <v>66.7</v>
      </c>
      <c r="L21" s="1112">
        <f t="shared" si="7"/>
        <v>63.5</v>
      </c>
      <c r="M21" s="1112">
        <f t="shared" si="7"/>
        <v>60</v>
      </c>
      <c r="N21" s="1112">
        <f t="shared" si="7"/>
        <v>64.7</v>
      </c>
      <c r="O21" s="1112">
        <f t="shared" si="7"/>
        <v>66</v>
      </c>
      <c r="P21" s="1112">
        <f t="shared" si="7"/>
        <v>65.8</v>
      </c>
      <c r="Q21" s="1112">
        <f t="shared" si="7"/>
        <v>64.600000000000009</v>
      </c>
      <c r="R21" s="1112">
        <f t="shared" si="7"/>
        <v>67</v>
      </c>
      <c r="S21" s="668"/>
      <c r="V21" s="771" t="s">
        <v>746</v>
      </c>
      <c r="W21" s="1060" t="s">
        <v>747</v>
      </c>
      <c r="X21" s="773"/>
      <c r="Y21" s="773"/>
      <c r="Z21" s="773"/>
      <c r="AA21" s="773"/>
      <c r="AB21" s="773"/>
      <c r="AC21" s="773"/>
      <c r="AD21" s="773"/>
      <c r="AE21" s="773"/>
      <c r="AF21" s="773"/>
      <c r="AG21" s="773"/>
      <c r="AH21" s="773"/>
      <c r="AI21" s="773"/>
      <c r="AJ21" s="773"/>
      <c r="AK21" s="774"/>
    </row>
    <row r="22" spans="1:37" ht="23.1" customHeight="1">
      <c r="A22" s="668"/>
      <c r="B22" s="1096"/>
      <c r="C22" s="1108">
        <v>2026.3</v>
      </c>
      <c r="D22" s="1124">
        <f t="shared" ref="D22:R22" si="8">IF(D18="-","-",ROUND(D18/D11,3)*100)</f>
        <v>61.1</v>
      </c>
      <c r="E22" s="1124">
        <f t="shared" si="8"/>
        <v>64.5</v>
      </c>
      <c r="F22" s="1124">
        <f t="shared" si="8"/>
        <v>63.4</v>
      </c>
      <c r="G22" s="1124">
        <f t="shared" si="8"/>
        <v>66.2</v>
      </c>
      <c r="H22" s="1124">
        <f t="shared" si="8"/>
        <v>69.599999999999994</v>
      </c>
      <c r="I22" s="1124">
        <f t="shared" si="8"/>
        <v>70.3</v>
      </c>
      <c r="J22" s="1124">
        <f t="shared" si="8"/>
        <v>65.600000000000009</v>
      </c>
      <c r="K22" s="1124">
        <f t="shared" si="8"/>
        <v>68.8</v>
      </c>
      <c r="L22" s="1124">
        <f t="shared" si="8"/>
        <v>68.100000000000009</v>
      </c>
      <c r="M22" s="1124">
        <f t="shared" si="8"/>
        <v>66</v>
      </c>
      <c r="N22" s="1124">
        <f t="shared" si="8"/>
        <v>69.599999999999994</v>
      </c>
      <c r="O22" s="1124">
        <f t="shared" si="8"/>
        <v>69.599999999999994</v>
      </c>
      <c r="P22" s="1124">
        <f t="shared" si="8"/>
        <v>67.900000000000006</v>
      </c>
      <c r="Q22" s="1124">
        <f t="shared" si="8"/>
        <v>68.300000000000011</v>
      </c>
      <c r="R22" s="1124">
        <f t="shared" si="8"/>
        <v>67</v>
      </c>
      <c r="S22" s="668"/>
      <c r="V22" s="776"/>
      <c r="W22" s="676" t="s">
        <v>748</v>
      </c>
      <c r="X22" s="676"/>
      <c r="Y22" s="676"/>
      <c r="Z22" s="676"/>
      <c r="AA22" s="676"/>
      <c r="AB22" s="849" t="s">
        <v>749</v>
      </c>
      <c r="AC22" s="676"/>
      <c r="AD22" s="676"/>
      <c r="AE22" s="676"/>
      <c r="AF22" s="676"/>
      <c r="AG22" s="676"/>
      <c r="AH22" s="676"/>
      <c r="AI22" s="676"/>
      <c r="AJ22" s="676"/>
      <c r="AK22" s="777"/>
    </row>
    <row r="23" spans="1:37" ht="13.5" hidden="1" customHeight="1" outlineLevel="1">
      <c r="A23" s="668"/>
      <c r="B23" s="668" t="s">
        <v>750</v>
      </c>
      <c r="C23" s="668"/>
      <c r="D23" s="668"/>
      <c r="E23" s="668"/>
      <c r="F23" s="668"/>
      <c r="G23" s="668"/>
      <c r="H23" s="668"/>
      <c r="I23" s="668"/>
      <c r="J23" s="668"/>
      <c r="K23" s="668"/>
      <c r="L23" s="668"/>
      <c r="M23" s="668"/>
      <c r="N23" s="668"/>
      <c r="O23" s="668"/>
      <c r="P23" s="668"/>
      <c r="Q23" s="668"/>
      <c r="R23" s="668"/>
      <c r="S23" s="668"/>
    </row>
    <row r="24" spans="1:37" s="770" customFormat="1" ht="13.5" hidden="1" customHeight="1" outlineLevel="1">
      <c r="A24" s="1097"/>
      <c r="B24" s="714" t="s">
        <v>57</v>
      </c>
      <c r="C24" s="1097"/>
      <c r="D24" s="1097"/>
      <c r="E24" s="1097"/>
      <c r="F24" s="1097"/>
      <c r="G24" s="1097"/>
      <c r="H24" s="1097"/>
      <c r="I24" s="1097"/>
      <c r="J24" s="1097"/>
      <c r="K24" s="1097"/>
      <c r="L24" s="1097"/>
      <c r="M24" s="1097"/>
      <c r="N24" s="1097"/>
      <c r="O24" s="1097"/>
      <c r="P24" s="1097"/>
      <c r="Q24" s="1097"/>
      <c r="R24" s="1097"/>
      <c r="S24" s="1097"/>
    </row>
    <row r="25" spans="1:37" s="770" customFormat="1" ht="13.5" hidden="1" customHeight="1" outlineLevel="1">
      <c r="A25" s="1097"/>
      <c r="B25" s="668" t="s">
        <v>159</v>
      </c>
      <c r="C25" s="1097"/>
      <c r="D25" s="1097"/>
      <c r="E25" s="1097"/>
      <c r="F25" s="1097"/>
      <c r="G25" s="1097"/>
      <c r="H25" s="1097"/>
      <c r="I25" s="1097"/>
      <c r="J25" s="1097"/>
      <c r="K25" s="1097"/>
      <c r="L25" s="1097"/>
      <c r="M25" s="1097"/>
      <c r="N25" s="1097"/>
      <c r="O25" s="1097"/>
      <c r="P25" s="1097"/>
      <c r="Q25" s="1097"/>
      <c r="R25" s="1097"/>
      <c r="S25" s="1097"/>
    </row>
    <row r="26" spans="1:37" s="770" customFormat="1" ht="13.5" hidden="1" customHeight="1" outlineLevel="1">
      <c r="A26" s="1097"/>
      <c r="B26" s="668" t="s">
        <v>751</v>
      </c>
      <c r="C26" s="1097"/>
      <c r="D26" s="1097"/>
      <c r="E26" s="1097"/>
      <c r="F26" s="1097"/>
      <c r="G26" s="1097"/>
      <c r="H26" s="1097"/>
      <c r="I26" s="1097"/>
      <c r="J26" s="1097"/>
      <c r="K26" s="1097"/>
      <c r="L26" s="1097"/>
      <c r="M26" s="1097"/>
      <c r="N26" s="1097"/>
      <c r="O26" s="1097"/>
      <c r="P26" s="1097"/>
      <c r="Q26" s="1097"/>
      <c r="R26" s="1097"/>
      <c r="S26" s="1097"/>
      <c r="W26" s="770" t="s">
        <v>752</v>
      </c>
    </row>
    <row r="27" spans="1:37" s="770" customFormat="1" ht="13.5" hidden="1" customHeight="1" outlineLevel="1">
      <c r="A27" s="1097"/>
      <c r="B27" s="714" t="s">
        <v>419</v>
      </c>
      <c r="C27" s="1097"/>
      <c r="D27" s="1097"/>
      <c r="E27" s="1097"/>
      <c r="F27" s="1097"/>
      <c r="G27" s="1097"/>
      <c r="H27" s="1097"/>
      <c r="I27" s="1097"/>
      <c r="J27" s="1097"/>
      <c r="K27" s="1097"/>
      <c r="L27" s="1097"/>
      <c r="M27" s="1097"/>
      <c r="N27" s="1097"/>
      <c r="O27" s="1097"/>
      <c r="P27" s="1097"/>
      <c r="Q27" s="1097"/>
      <c r="R27" s="1097"/>
      <c r="S27" s="1097"/>
    </row>
    <row r="28" spans="1:37" s="1100" customFormat="1" ht="11.25" hidden="1" customHeight="1" outlineLevel="1">
      <c r="A28" s="1098"/>
      <c r="B28" s="974" t="s">
        <v>735</v>
      </c>
      <c r="C28" s="1099"/>
      <c r="D28" s="1098"/>
      <c r="E28" s="1098"/>
      <c r="F28" s="1098"/>
      <c r="G28" s="1098"/>
      <c r="H28" s="1098"/>
      <c r="I28" s="1098"/>
      <c r="J28" s="1098"/>
      <c r="K28" s="1098"/>
      <c r="L28" s="1098"/>
      <c r="M28" s="1098"/>
      <c r="N28" s="1098"/>
      <c r="O28" s="1098"/>
      <c r="P28" s="1098"/>
      <c r="Q28" s="1098"/>
      <c r="R28" s="1098"/>
      <c r="S28" s="1098"/>
    </row>
    <row r="29" spans="1:37" s="770" customFormat="1" ht="11.25" hidden="1" customHeight="1" outlineLevel="1">
      <c r="A29" s="1097"/>
      <c r="B29" s="1786" t="s">
        <v>446</v>
      </c>
      <c r="C29" s="1097"/>
      <c r="D29" s="1097"/>
      <c r="E29" s="1097"/>
      <c r="F29" s="1097"/>
      <c r="G29" s="1097"/>
      <c r="H29" s="1097"/>
      <c r="I29" s="1097"/>
      <c r="J29" s="1097"/>
      <c r="K29" s="1097"/>
      <c r="L29" s="1097"/>
      <c r="M29" s="1097"/>
      <c r="N29" s="1097"/>
      <c r="O29" s="1097"/>
      <c r="P29" s="1097"/>
      <c r="Q29" s="1097"/>
      <c r="R29" s="1097"/>
      <c r="S29" s="1097"/>
    </row>
    <row r="30" spans="1:37" s="1100" customFormat="1" ht="11.25" customHeight="1" collapsed="1">
      <c r="A30" s="1098"/>
      <c r="B30" s="667"/>
      <c r="C30" s="1099"/>
      <c r="D30" s="1098"/>
      <c r="E30" s="1098"/>
      <c r="F30" s="1098"/>
      <c r="G30" s="1098"/>
      <c r="H30" s="1098"/>
      <c r="I30" s="1098"/>
      <c r="J30" s="1098"/>
      <c r="K30" s="1098"/>
      <c r="L30" s="1098"/>
      <c r="M30" s="1098"/>
      <c r="N30" s="1098"/>
      <c r="O30" s="1098"/>
      <c r="P30" s="1098"/>
      <c r="Q30" s="1098"/>
      <c r="R30" s="1098"/>
      <c r="S30" s="1098"/>
    </row>
    <row r="31" spans="1:37" s="770" customFormat="1" ht="11.25" customHeight="1">
      <c r="A31" s="1097"/>
      <c r="B31" s="667"/>
      <c r="C31" s="1097"/>
      <c r="D31" s="1097"/>
      <c r="E31" s="1097"/>
      <c r="F31" s="1097"/>
      <c r="G31" s="1097"/>
      <c r="H31" s="1097"/>
      <c r="I31" s="1097"/>
      <c r="J31" s="1097"/>
      <c r="K31" s="1097"/>
      <c r="L31" s="1097"/>
      <c r="M31" s="1097"/>
      <c r="N31" s="1097"/>
      <c r="O31" s="1097"/>
      <c r="P31" s="1097"/>
      <c r="Q31" s="1097"/>
      <c r="R31" s="1097"/>
      <c r="S31" s="1097"/>
    </row>
    <row r="32" spans="1:37" ht="19.5" customHeight="1">
      <c r="A32" s="668"/>
      <c r="B32" s="668"/>
      <c r="C32" s="668"/>
      <c r="D32" s="668"/>
      <c r="E32" s="668"/>
      <c r="F32" s="668"/>
      <c r="G32" s="668"/>
      <c r="H32" s="668"/>
      <c r="I32" s="668"/>
      <c r="J32" s="668"/>
      <c r="K32" s="668"/>
      <c r="L32" s="668"/>
      <c r="M32" s="668"/>
      <c r="N32" s="668"/>
      <c r="O32" s="668"/>
      <c r="P32" s="668"/>
      <c r="Q32" s="668"/>
      <c r="R32" s="668"/>
      <c r="S32" s="668"/>
    </row>
    <row r="33" spans="1:19" ht="13.5" customHeight="1">
      <c r="A33" s="668"/>
      <c r="B33" s="668"/>
      <c r="C33" s="668"/>
      <c r="D33" s="668"/>
      <c r="E33" s="668"/>
      <c r="F33" s="668"/>
      <c r="G33" s="668"/>
      <c r="H33" s="668"/>
      <c r="I33" s="668"/>
      <c r="J33" s="668"/>
      <c r="K33" s="668"/>
      <c r="L33" s="668"/>
      <c r="M33" s="668"/>
      <c r="N33" s="668"/>
      <c r="O33" s="668"/>
      <c r="P33" s="668"/>
      <c r="Q33" s="668"/>
      <c r="R33" s="668"/>
      <c r="S33" s="668"/>
    </row>
    <row r="34" spans="1:19" ht="27" customHeight="1">
      <c r="A34" s="668"/>
      <c r="B34" s="668"/>
      <c r="C34" s="668"/>
      <c r="D34" s="668"/>
      <c r="E34" s="668"/>
      <c r="F34" s="668"/>
      <c r="G34" s="668"/>
      <c r="H34" s="668"/>
      <c r="I34" s="668"/>
      <c r="J34" s="668"/>
      <c r="K34" s="668"/>
      <c r="L34" s="668"/>
      <c r="M34" s="668"/>
      <c r="N34" s="668"/>
      <c r="O34" s="668"/>
      <c r="P34" s="668"/>
      <c r="Q34" s="668"/>
      <c r="R34" s="668"/>
      <c r="S34" s="668"/>
    </row>
  </sheetData>
  <sheetProtection algorithmName="SHA-512" hashValue="bGUKObGd25Mr0fC0OuSag3/TCMDylaCMWsC6aeN2DjgzP/jyvj/wpwokrlLZsGyHADE26+WzjQxFWUy+dxtqGQ==" saltValue="dXWP+/kUZXV44b0bPpbWcg==" spinCount="100000" sheet="1" objects="1" scenarios="1"/>
  <customSheetViews>
    <customSheetView guid="{06451E13-97D0-44F4-875B-E8D80B2F1CF1}" scale="115" showPageBreaks="1" fitToPage="1" printArea="1" hiddenRows="1" view="pageBreakPreview">
      <selection activeCell="Q18" sqref="Q18"/>
      <pageMargins left="0" right="0" top="0" bottom="0" header="0" footer="0"/>
      <printOptions horizontalCentered="1" verticalCentered="1"/>
      <pageSetup paperSize="9" orientation="landscape" r:id="rId1"/>
      <headerFooter scaleWithDoc="0" alignWithMargins="0">
        <oddFooter>&amp;C&amp;"Arial,標準"&amp;12 10</oddFooter>
      </headerFooter>
    </customSheetView>
  </customSheetViews>
  <mergeCells count="4">
    <mergeCell ref="B5:C5"/>
    <mergeCell ref="B7:B8"/>
    <mergeCell ref="B14:B15"/>
    <mergeCell ref="B20:B21"/>
  </mergeCells>
  <phoneticPr fontId="17"/>
  <hyperlinks>
    <hyperlink ref="W21" r:id="rId2"/>
  </hyperlinks>
  <printOptions horizontalCentered="1" verticalCentered="1"/>
  <pageMargins left="0" right="0" top="0" bottom="0" header="0" footer="0"/>
  <pageSetup paperSize="9" orientation="landscape" r:id="rId3"/>
  <headerFooter scaleWithDoc="0" alignWithMargins="0">
    <oddFooter>&amp;C&amp;"Arial,標準"&amp;12 10</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2:AI56"/>
  <sheetViews>
    <sheetView view="pageBreakPreview" zoomScale="70" zoomScaleNormal="55" zoomScaleSheetLayoutView="70" workbookViewId="0">
      <selection activeCell="S1046354" sqref="S1046354"/>
    </sheetView>
  </sheetViews>
  <sheetFormatPr defaultColWidth="9.140625" defaultRowHeight="12.75"/>
  <cols>
    <col min="1" max="1" width="12.85546875" style="851" customWidth="1"/>
    <col min="2" max="2" width="18.5703125" style="851" customWidth="1"/>
    <col min="3" max="3" width="25" style="989" customWidth="1"/>
    <col min="4" max="4" width="12.7109375" style="989" customWidth="1"/>
    <col min="5" max="17" width="11.140625" style="851" customWidth="1"/>
    <col min="18" max="18" width="14" style="851" customWidth="1"/>
    <col min="19" max="19" width="3.5703125" style="851" hidden="1" customWidth="1"/>
    <col min="20" max="20" width="29.42578125" style="851" hidden="1" customWidth="1"/>
    <col min="21" max="21" width="14.140625" style="851" hidden="1" customWidth="1"/>
    <col min="22" max="32" width="21.5703125" style="851" hidden="1" customWidth="1"/>
    <col min="33" max="33" width="13.140625" style="851" hidden="1" customWidth="1"/>
    <col min="34" max="34" width="14.85546875" style="851" hidden="1" customWidth="1"/>
    <col min="35" max="63" width="0" style="851" hidden="1" customWidth="1"/>
    <col min="64" max="16384" width="9.140625" style="851"/>
  </cols>
  <sheetData>
    <row r="2" spans="1:35" ht="65.25" customHeight="1">
      <c r="A2" s="906"/>
      <c r="B2" s="906"/>
      <c r="C2" s="907"/>
      <c r="D2" s="907"/>
      <c r="E2" s="906"/>
      <c r="F2" s="906"/>
      <c r="G2" s="906"/>
      <c r="H2" s="906"/>
      <c r="I2" s="906"/>
      <c r="J2" s="906"/>
      <c r="K2" s="906"/>
      <c r="L2" s="906"/>
      <c r="M2" s="906"/>
      <c r="N2" s="906"/>
      <c r="O2" s="906"/>
      <c r="P2" s="906"/>
      <c r="Q2" s="906"/>
      <c r="R2" s="906"/>
    </row>
    <row r="3" spans="1:35" ht="19.5" customHeight="1">
      <c r="A3" s="908"/>
      <c r="B3" s="908"/>
      <c r="C3" s="907"/>
      <c r="D3" s="907"/>
      <c r="E3" s="906"/>
      <c r="F3" s="906"/>
      <c r="G3" s="906"/>
      <c r="H3" s="906"/>
      <c r="I3" s="906"/>
      <c r="J3" s="906"/>
      <c r="K3" s="906"/>
      <c r="L3" s="906"/>
      <c r="M3" s="906"/>
      <c r="N3" s="906"/>
      <c r="O3" s="906"/>
      <c r="P3" s="906"/>
      <c r="Q3" s="906"/>
      <c r="R3" s="906"/>
      <c r="S3" s="909"/>
    </row>
    <row r="4" spans="1:35" ht="32.25" customHeight="1" thickBot="1">
      <c r="A4" s="906"/>
      <c r="B4" s="906"/>
      <c r="C4" s="907"/>
      <c r="D4" s="907"/>
      <c r="E4" s="906"/>
      <c r="F4" s="906"/>
      <c r="G4" s="906"/>
      <c r="H4" s="906"/>
      <c r="I4" s="906"/>
      <c r="J4" s="906"/>
      <c r="K4" s="906"/>
      <c r="L4" s="906"/>
      <c r="M4" s="906"/>
      <c r="N4" s="906"/>
      <c r="O4" s="906"/>
      <c r="P4" s="907"/>
      <c r="Q4" s="2073" t="s">
        <v>1707</v>
      </c>
      <c r="R4" s="906"/>
      <c r="T4" s="910" t="s">
        <v>764</v>
      </c>
      <c r="V4" s="911" t="s">
        <v>765</v>
      </c>
    </row>
    <row r="5" spans="1:35" ht="24" customHeight="1">
      <c r="A5" s="906"/>
      <c r="B5" s="2451"/>
      <c r="C5" s="2451"/>
      <c r="D5" s="2451"/>
      <c r="E5" s="2453" t="str">
        <f>V5</f>
        <v>2016.3</v>
      </c>
      <c r="F5" s="2206" t="str">
        <f t="shared" ref="F5:O5" si="0">W5</f>
        <v>2017.3</v>
      </c>
      <c r="G5" s="2206" t="str">
        <f t="shared" si="0"/>
        <v>2018.3</v>
      </c>
      <c r="H5" s="2206" t="str">
        <f t="shared" si="0"/>
        <v>2019.3</v>
      </c>
      <c r="I5" s="2206" t="str">
        <f t="shared" si="0"/>
        <v>2020.3</v>
      </c>
      <c r="J5" s="2206" t="str">
        <f t="shared" si="0"/>
        <v>2021.3</v>
      </c>
      <c r="K5" s="2206" t="str">
        <f t="shared" si="0"/>
        <v>2022.3</v>
      </c>
      <c r="L5" s="2206" t="str">
        <f t="shared" si="0"/>
        <v>2023.3</v>
      </c>
      <c r="M5" s="2206" t="str">
        <f t="shared" si="0"/>
        <v>2024.3</v>
      </c>
      <c r="N5" s="2206" t="str">
        <f t="shared" si="0"/>
        <v>2025.3</v>
      </c>
      <c r="O5" s="2306" t="str">
        <f t="shared" si="0"/>
        <v>2026.3</v>
      </c>
      <c r="P5" s="912" t="s">
        <v>638</v>
      </c>
      <c r="Q5" s="913" t="s">
        <v>558</v>
      </c>
      <c r="R5" s="714"/>
      <c r="S5" s="914"/>
      <c r="T5" s="915"/>
      <c r="U5" s="915"/>
      <c r="V5" s="2448" t="s">
        <v>1590</v>
      </c>
      <c r="W5" s="2448" t="s">
        <v>1591</v>
      </c>
      <c r="X5" s="2448" t="s">
        <v>1592</v>
      </c>
      <c r="Y5" s="2448" t="s">
        <v>1593</v>
      </c>
      <c r="Z5" s="2448" t="s">
        <v>1595</v>
      </c>
      <c r="AA5" s="2448" t="s">
        <v>1594</v>
      </c>
      <c r="AB5" s="2443" t="s">
        <v>1596</v>
      </c>
      <c r="AC5" s="2443" t="s">
        <v>1597</v>
      </c>
      <c r="AD5" s="2443" t="s">
        <v>1598</v>
      </c>
      <c r="AE5" s="2445" t="s">
        <v>1599</v>
      </c>
      <c r="AF5" s="2446" t="s">
        <v>1600</v>
      </c>
      <c r="AG5" s="916" t="s">
        <v>766</v>
      </c>
      <c r="AH5" s="916" t="s">
        <v>767</v>
      </c>
    </row>
    <row r="6" spans="1:35" ht="18.95" customHeight="1" thickBot="1">
      <c r="A6" s="906"/>
      <c r="B6" s="2452"/>
      <c r="C6" s="2452"/>
      <c r="D6" s="2452"/>
      <c r="E6" s="2207"/>
      <c r="F6" s="2207"/>
      <c r="G6" s="2207"/>
      <c r="H6" s="2207"/>
      <c r="I6" s="2207"/>
      <c r="J6" s="2207"/>
      <c r="K6" s="2207"/>
      <c r="L6" s="2207"/>
      <c r="M6" s="2207"/>
      <c r="N6" s="2207"/>
      <c r="O6" s="2450"/>
      <c r="P6" s="1200" t="s">
        <v>511</v>
      </c>
      <c r="Q6" s="1201" t="s">
        <v>509</v>
      </c>
      <c r="R6" s="714"/>
      <c r="S6" s="914"/>
      <c r="T6" s="915"/>
      <c r="U6" s="915"/>
      <c r="V6" s="2449"/>
      <c r="W6" s="2449"/>
      <c r="X6" s="2449"/>
      <c r="Y6" s="2449"/>
      <c r="Z6" s="2449"/>
      <c r="AA6" s="2449"/>
      <c r="AB6" s="2444"/>
      <c r="AC6" s="2444"/>
      <c r="AD6" s="2444"/>
      <c r="AE6" s="2443"/>
      <c r="AF6" s="2447"/>
      <c r="AG6" s="858" t="s">
        <v>373</v>
      </c>
      <c r="AH6" s="859" t="s">
        <v>5</v>
      </c>
    </row>
    <row r="7" spans="1:35" ht="18" customHeight="1" thickTop="1">
      <c r="A7" s="906"/>
      <c r="B7" s="2436" t="s">
        <v>786</v>
      </c>
      <c r="C7" s="2422" t="s">
        <v>787</v>
      </c>
      <c r="D7" s="2422"/>
      <c r="E7" s="1470">
        <f>ROUNDDOWN(V7,-6)/1000000</f>
        <v>53150</v>
      </c>
      <c r="F7" s="1470">
        <f>ROUNDDOWN(W7,-6)/1000000</f>
        <v>53311</v>
      </c>
      <c r="G7" s="1470">
        <f t="shared" ref="G7:O8" si="1">ROUNDDOWN(X7,-6)/1000000</f>
        <v>60025</v>
      </c>
      <c r="H7" s="1470">
        <f t="shared" si="1"/>
        <v>65141</v>
      </c>
      <c r="I7" s="1470">
        <f t="shared" si="1"/>
        <v>63772</v>
      </c>
      <c r="J7" s="1470">
        <f t="shared" si="1"/>
        <v>61429</v>
      </c>
      <c r="K7" s="1470">
        <f t="shared" si="1"/>
        <v>65185</v>
      </c>
      <c r="L7" s="1470">
        <f t="shared" si="1"/>
        <v>69594</v>
      </c>
      <c r="M7" s="1470">
        <f t="shared" si="1"/>
        <v>75374</v>
      </c>
      <c r="N7" s="1470">
        <f t="shared" si="1"/>
        <v>82142</v>
      </c>
      <c r="O7" s="1470">
        <f t="shared" si="1"/>
        <v>90024</v>
      </c>
      <c r="P7" s="1471">
        <f t="shared" ref="P7:Q15" si="2">AG7</f>
        <v>9.5954328640098332</v>
      </c>
      <c r="Q7" s="1471">
        <f t="shared" si="2"/>
        <v>5.410849455037603</v>
      </c>
      <c r="R7" s="906"/>
      <c r="S7" s="914"/>
      <c r="T7" s="2415" t="s">
        <v>768</v>
      </c>
      <c r="U7" s="918" t="s">
        <v>769</v>
      </c>
      <c r="V7" s="919">
        <v>53150302686</v>
      </c>
      <c r="W7" s="919">
        <v>53311454297</v>
      </c>
      <c r="X7" s="919">
        <v>60025039949</v>
      </c>
      <c r="Y7" s="919">
        <v>65141200619</v>
      </c>
      <c r="Z7" s="919">
        <v>63772676464</v>
      </c>
      <c r="AA7" s="919">
        <v>61429166184</v>
      </c>
      <c r="AB7" s="920">
        <v>65185534218</v>
      </c>
      <c r="AC7" s="920">
        <v>69594482675</v>
      </c>
      <c r="AD7" s="920">
        <v>75374440300</v>
      </c>
      <c r="AE7" s="920">
        <v>82142216393</v>
      </c>
      <c r="AF7" s="921">
        <v>90024117620</v>
      </c>
      <c r="AG7" s="922">
        <f>IF(OR(AND(AF7&gt;0,AE7&lt;0),AND(AF7&lt;0,AE7&gt;0),AND(AF7&lt;0,AE7&lt;0)),"-",(AF7/AE7-1)*100)</f>
        <v>9.5954328640098332</v>
      </c>
      <c r="AH7" s="922">
        <f>IF(OR(AND(V7&gt;0,AF7&lt;0),AND(V7&lt;0,AF7&gt;0),AND(V7&lt;0,AF7&lt;0)),"-",((AF7/V7)^(1/10)-1)*100)</f>
        <v>5.410849455037603</v>
      </c>
    </row>
    <row r="8" spans="1:35" ht="18" customHeight="1">
      <c r="A8" s="906"/>
      <c r="B8" s="2437"/>
      <c r="C8" s="2426" t="s">
        <v>788</v>
      </c>
      <c r="D8" s="2181"/>
      <c r="E8" s="1473">
        <f>ROUNDDOWN(V8,-6)/1000000</f>
        <v>33560</v>
      </c>
      <c r="F8" s="1473">
        <f>ROUNDDOWN(W8,-6)/1000000</f>
        <v>31869</v>
      </c>
      <c r="G8" s="1473">
        <f t="shared" si="1"/>
        <v>35131</v>
      </c>
      <c r="H8" s="1473">
        <f t="shared" si="1"/>
        <v>36323</v>
      </c>
      <c r="I8" s="1473">
        <f t="shared" si="1"/>
        <v>35436</v>
      </c>
      <c r="J8" s="1473">
        <f t="shared" si="1"/>
        <v>35463</v>
      </c>
      <c r="K8" s="1473">
        <f t="shared" si="1"/>
        <v>40217</v>
      </c>
      <c r="L8" s="1473">
        <f t="shared" si="1"/>
        <v>42267</v>
      </c>
      <c r="M8" s="1473">
        <f t="shared" si="1"/>
        <v>47414</v>
      </c>
      <c r="N8" s="1473">
        <f t="shared" si="1"/>
        <v>53274</v>
      </c>
      <c r="O8" s="1473">
        <f t="shared" si="1"/>
        <v>58584</v>
      </c>
      <c r="P8" s="1082">
        <f t="shared" si="2"/>
        <v>9.9666855643828267</v>
      </c>
      <c r="Q8" s="1082">
        <f t="shared" si="2"/>
        <v>5.7293435138354498</v>
      </c>
      <c r="R8" s="906"/>
      <c r="S8" s="914"/>
      <c r="T8" s="2416"/>
      <c r="U8" s="925" t="s">
        <v>770</v>
      </c>
      <c r="V8" s="926">
        <v>33560264264</v>
      </c>
      <c r="W8" s="926">
        <v>31869970682</v>
      </c>
      <c r="X8" s="926">
        <v>35131251503</v>
      </c>
      <c r="Y8" s="926">
        <v>36323740268</v>
      </c>
      <c r="Z8" s="926">
        <v>35436109126</v>
      </c>
      <c r="AA8" s="926">
        <v>35463594927</v>
      </c>
      <c r="AB8" s="927">
        <v>40217943091</v>
      </c>
      <c r="AC8" s="927">
        <v>42267980525</v>
      </c>
      <c r="AD8" s="927">
        <v>47414485326</v>
      </c>
      <c r="AE8" s="927">
        <v>53274525806</v>
      </c>
      <c r="AF8" s="928">
        <v>58584230279</v>
      </c>
      <c r="AG8" s="929">
        <f>IF(OR(AND(AF8&gt;0,AE8&lt;0),AND(AF8&lt;0,AE8&gt;0),AND(AF8&lt;0,AE8&lt;0)),"-",(AF8/AE8-1)*100)</f>
        <v>9.9666855643828267</v>
      </c>
      <c r="AH8" s="929">
        <f>IF(OR(AND(V8&gt;0,AF8&lt;0),AND(V8&lt;0,AF8&gt;0),AND(V8&lt;0,AF8&lt;0)),"-",((AF8/V8)^(1/10)-1)*100)</f>
        <v>5.7293435138354498</v>
      </c>
    </row>
    <row r="9" spans="1:35" ht="18" customHeight="1">
      <c r="A9" s="906"/>
      <c r="B9" s="2438"/>
      <c r="C9" s="2427" t="s">
        <v>789</v>
      </c>
      <c r="D9" s="2428"/>
      <c r="E9" s="1128">
        <f>IF(V9="-","-",ROUND(V9,1))</f>
        <v>63.1</v>
      </c>
      <c r="F9" s="1128">
        <f t="shared" ref="F9:O9" si="3">IF(W9="-","-",ROUND(W9,1))</f>
        <v>59.8</v>
      </c>
      <c r="G9" s="1128">
        <f t="shared" si="3"/>
        <v>58.5</v>
      </c>
      <c r="H9" s="1128">
        <f t="shared" si="3"/>
        <v>55.8</v>
      </c>
      <c r="I9" s="1128">
        <f t="shared" si="3"/>
        <v>55.6</v>
      </c>
      <c r="J9" s="1128">
        <f t="shared" si="3"/>
        <v>57.7</v>
      </c>
      <c r="K9" s="1128">
        <f t="shared" si="3"/>
        <v>61.7</v>
      </c>
      <c r="L9" s="1128">
        <f t="shared" si="3"/>
        <v>60.7</v>
      </c>
      <c r="M9" s="1128">
        <f t="shared" si="3"/>
        <v>62.9</v>
      </c>
      <c r="N9" s="1128">
        <f t="shared" si="3"/>
        <v>64.900000000000006</v>
      </c>
      <c r="O9" s="1128">
        <f t="shared" si="3"/>
        <v>65.099999999999994</v>
      </c>
      <c r="P9" s="1127" t="str">
        <f t="shared" si="2"/>
        <v>-</v>
      </c>
      <c r="Q9" s="1127" t="str">
        <f t="shared" si="2"/>
        <v>-</v>
      </c>
      <c r="R9" s="906"/>
      <c r="S9" s="914"/>
      <c r="T9" s="2417"/>
      <c r="U9" s="930" t="s">
        <v>771</v>
      </c>
      <c r="V9" s="931">
        <f t="shared" ref="V9:AD9" si="4">V8/V7*100</f>
        <v>63.142188412860925</v>
      </c>
      <c r="W9" s="931">
        <f t="shared" si="4"/>
        <v>59.780718988552181</v>
      </c>
      <c r="X9" s="931">
        <f t="shared" si="4"/>
        <v>58.527660344498081</v>
      </c>
      <c r="Y9" s="931">
        <f t="shared" si="4"/>
        <v>55.761545569986481</v>
      </c>
      <c r="Z9" s="931">
        <f t="shared" si="4"/>
        <v>55.566288088918249</v>
      </c>
      <c r="AA9" s="931">
        <f t="shared" si="4"/>
        <v>57.730874648005461</v>
      </c>
      <c r="AB9" s="931">
        <f t="shared" si="4"/>
        <v>61.697650519360813</v>
      </c>
      <c r="AC9" s="931">
        <f t="shared" si="4"/>
        <v>60.734671629628579</v>
      </c>
      <c r="AD9" s="932">
        <f t="shared" si="4"/>
        <v>62.905256924342304</v>
      </c>
      <c r="AE9" s="933">
        <f>IF(AE7="","-",AE8/AE7*100)</f>
        <v>64.856450367876789</v>
      </c>
      <c r="AF9" s="934">
        <f>IF(AF7="","-",AF8/AF7*100)</f>
        <v>65.076150511454472</v>
      </c>
      <c r="AG9" s="935" t="s">
        <v>248</v>
      </c>
      <c r="AH9" s="935" t="s">
        <v>248</v>
      </c>
    </row>
    <row r="10" spans="1:35" ht="18" customHeight="1">
      <c r="A10" s="906"/>
      <c r="B10" s="2436" t="s">
        <v>790</v>
      </c>
      <c r="C10" s="2422" t="s">
        <v>787</v>
      </c>
      <c r="D10" s="2422"/>
      <c r="E10" s="1130">
        <f>IF(V10="-","-",ROUNDDOWN(V10,-6)/1000000)</f>
        <v>10097</v>
      </c>
      <c r="F10" s="1130">
        <f t="shared" ref="E10:O11" si="5">IF(W10="-","-",ROUNDDOWN(W10,-6)/1000000)</f>
        <v>9373</v>
      </c>
      <c r="G10" s="1130">
        <f t="shared" si="5"/>
        <v>9827</v>
      </c>
      <c r="H10" s="1130">
        <f t="shared" si="5"/>
        <v>9701</v>
      </c>
      <c r="I10" s="1130">
        <f t="shared" si="5"/>
        <v>9099</v>
      </c>
      <c r="J10" s="1130">
        <f t="shared" si="5"/>
        <v>8646</v>
      </c>
      <c r="K10" s="1130">
        <f t="shared" si="5"/>
        <v>9300</v>
      </c>
      <c r="L10" s="1130">
        <f t="shared" si="5"/>
        <v>10391</v>
      </c>
      <c r="M10" s="1130">
        <f t="shared" si="5"/>
        <v>11431</v>
      </c>
      <c r="N10" s="1130">
        <f t="shared" si="5"/>
        <v>12651</v>
      </c>
      <c r="O10" s="1130">
        <f t="shared" si="5"/>
        <v>12470</v>
      </c>
      <c r="P10" s="1471">
        <f t="shared" si="2"/>
        <v>-1.427119200858451</v>
      </c>
      <c r="Q10" s="1471">
        <f t="shared" si="2"/>
        <v>2.133564314761105</v>
      </c>
      <c r="R10" s="906"/>
      <c r="S10" s="914"/>
      <c r="T10" s="2415" t="s">
        <v>772</v>
      </c>
      <c r="U10" s="918" t="s">
        <v>769</v>
      </c>
      <c r="V10" s="938">
        <v>10097468725</v>
      </c>
      <c r="W10" s="938">
        <v>9373070676</v>
      </c>
      <c r="X10" s="938">
        <v>9827547161</v>
      </c>
      <c r="Y10" s="938">
        <v>9701150411</v>
      </c>
      <c r="Z10" s="938">
        <v>9099565193</v>
      </c>
      <c r="AA10" s="938">
        <v>8646513593</v>
      </c>
      <c r="AB10" s="938">
        <v>9300761100</v>
      </c>
      <c r="AC10" s="939">
        <v>10391617529</v>
      </c>
      <c r="AD10" s="939">
        <v>11431799896</v>
      </c>
      <c r="AE10" s="940">
        <v>12651439760</v>
      </c>
      <c r="AF10" s="940">
        <v>12470888634</v>
      </c>
      <c r="AG10" s="922">
        <f>IF(OR(AND(AF10&gt;0,AE10&lt;0),AND(AF10&lt;0,AE10&gt;0),AND(AF10&lt;0,AE10&lt;0)),"-",(AF10/AE10-1)*100)</f>
        <v>-1.427119200858451</v>
      </c>
      <c r="AH10" s="922">
        <f>IF(OR(AND(V10&gt;0,AF10&lt;0),AND(V10&lt;0,AF10&gt;0),AND(V10&lt;0,AF10&lt;0)),"-",((AF10/V10)^(1/10)-1)*100)</f>
        <v>2.133564314761105</v>
      </c>
      <c r="AI10" s="911"/>
    </row>
    <row r="11" spans="1:35" ht="18" customHeight="1">
      <c r="A11" s="906"/>
      <c r="B11" s="2437"/>
      <c r="C11" s="2426" t="s">
        <v>788</v>
      </c>
      <c r="D11" s="2181"/>
      <c r="E11" s="1472">
        <f t="shared" si="5"/>
        <v>485</v>
      </c>
      <c r="F11" s="1472">
        <f t="shared" si="5"/>
        <v>202</v>
      </c>
      <c r="G11" s="1472">
        <f t="shared" si="5"/>
        <v>171</v>
      </c>
      <c r="H11" s="1472">
        <f t="shared" si="5"/>
        <v>116</v>
      </c>
      <c r="I11" s="1472">
        <f t="shared" si="5"/>
        <v>103</v>
      </c>
      <c r="J11" s="1472">
        <f t="shared" si="5"/>
        <v>271</v>
      </c>
      <c r="K11" s="1472">
        <f t="shared" si="5"/>
        <v>136</v>
      </c>
      <c r="L11" s="1472">
        <f t="shared" si="5"/>
        <v>130</v>
      </c>
      <c r="M11" s="1472">
        <f t="shared" si="5"/>
        <v>331</v>
      </c>
      <c r="N11" s="1472">
        <f t="shared" si="5"/>
        <v>276</v>
      </c>
      <c r="O11" s="1472">
        <f t="shared" si="5"/>
        <v>380</v>
      </c>
      <c r="P11" s="1082">
        <f t="shared" si="2"/>
        <v>37.718063984696791</v>
      </c>
      <c r="Q11" s="1082">
        <f t="shared" si="2"/>
        <v>-2.4053648566766506</v>
      </c>
      <c r="R11" s="906"/>
      <c r="S11" s="914"/>
      <c r="T11" s="2416"/>
      <c r="U11" s="925" t="s">
        <v>770</v>
      </c>
      <c r="V11" s="942">
        <v>485606371</v>
      </c>
      <c r="W11" s="942">
        <v>202277557</v>
      </c>
      <c r="X11" s="942">
        <v>171921606</v>
      </c>
      <c r="Y11" s="942">
        <v>116586838</v>
      </c>
      <c r="Z11" s="942">
        <v>103421665</v>
      </c>
      <c r="AA11" s="942">
        <v>271747642</v>
      </c>
      <c r="AB11" s="942">
        <v>136322935</v>
      </c>
      <c r="AC11" s="943">
        <v>130021856</v>
      </c>
      <c r="AD11" s="943">
        <v>331381737</v>
      </c>
      <c r="AE11" s="944">
        <v>276409468</v>
      </c>
      <c r="AF11" s="944">
        <v>380665768</v>
      </c>
      <c r="AG11" s="929">
        <f>IF(OR(AND(AF11&gt;0,AE11&lt;0),AND(AF11&lt;0,AE11&gt;0),AND(AF11&lt;0,AE11&lt;0)),"-",(AF11/AE11-1)*100)</f>
        <v>37.718063984696791</v>
      </c>
      <c r="AH11" s="929">
        <f>IF(OR(AND(V11&gt;0,AF11&lt;0),AND(V11&lt;0,AF11&gt;0),AND(V11&lt;0,AF11&lt;0)),"-",((AF11/V11)^(1/10)-1)*100)</f>
        <v>-2.4053648566766506</v>
      </c>
      <c r="AI11" s="911"/>
    </row>
    <row r="12" spans="1:35" ht="18" customHeight="1">
      <c r="A12" s="906"/>
      <c r="B12" s="2438"/>
      <c r="C12" s="2427" t="s">
        <v>789</v>
      </c>
      <c r="D12" s="2428"/>
      <c r="E12" s="1128">
        <f>IF(V12="-","-",ROUND(V12,1))</f>
        <v>4.8</v>
      </c>
      <c r="F12" s="1128">
        <f t="shared" ref="F12:O12" si="6">IF(W12="-","-",ROUND(W12,1))</f>
        <v>2.2000000000000002</v>
      </c>
      <c r="G12" s="1128">
        <f t="shared" si="6"/>
        <v>1.7</v>
      </c>
      <c r="H12" s="1128">
        <f t="shared" si="6"/>
        <v>1.2</v>
      </c>
      <c r="I12" s="1128">
        <f t="shared" si="6"/>
        <v>1.1000000000000001</v>
      </c>
      <c r="J12" s="1128">
        <f t="shared" si="6"/>
        <v>3.1</v>
      </c>
      <c r="K12" s="1128">
        <f t="shared" si="6"/>
        <v>1.5</v>
      </c>
      <c r="L12" s="1128">
        <f t="shared" si="6"/>
        <v>1.3</v>
      </c>
      <c r="M12" s="1128">
        <f t="shared" si="6"/>
        <v>2.9</v>
      </c>
      <c r="N12" s="1128">
        <f t="shared" si="6"/>
        <v>2.2000000000000002</v>
      </c>
      <c r="O12" s="1128">
        <f t="shared" si="6"/>
        <v>3.1</v>
      </c>
      <c r="P12" s="1128" t="str">
        <f t="shared" si="2"/>
        <v>-</v>
      </c>
      <c r="Q12" s="1128" t="str">
        <f t="shared" si="2"/>
        <v>-</v>
      </c>
      <c r="R12" s="906"/>
      <c r="S12" s="914"/>
      <c r="T12" s="2417"/>
      <c r="U12" s="930" t="s">
        <v>771</v>
      </c>
      <c r="V12" s="945">
        <f t="shared" ref="V12:AD12" si="7">IF(V10="-","-",V11/V10*100)</f>
        <v>4.8091891564635674</v>
      </c>
      <c r="W12" s="945">
        <f t="shared" si="7"/>
        <v>2.1580713940196472</v>
      </c>
      <c r="X12" s="946">
        <f t="shared" si="7"/>
        <v>1.7493846957281469</v>
      </c>
      <c r="Y12" s="946">
        <f t="shared" si="7"/>
        <v>1.2017836345244559</v>
      </c>
      <c r="Z12" s="946">
        <f t="shared" si="7"/>
        <v>1.1365561189622437</v>
      </c>
      <c r="AA12" s="946">
        <f t="shared" si="7"/>
        <v>3.1428579748027006</v>
      </c>
      <c r="AB12" s="946">
        <f t="shared" si="7"/>
        <v>1.4657180582780478</v>
      </c>
      <c r="AC12" s="946">
        <f t="shared" si="7"/>
        <v>1.2512186446156874</v>
      </c>
      <c r="AD12" s="947">
        <f t="shared" si="7"/>
        <v>2.8987713222302891</v>
      </c>
      <c r="AE12" s="948">
        <f>IF(AE10="-","-",AE11/AE10*100)</f>
        <v>2.1848064192181713</v>
      </c>
      <c r="AF12" s="949">
        <f>IF(AF10="-","-",AF11/AF10*100)</f>
        <v>3.052434988170547</v>
      </c>
      <c r="AG12" s="935" t="s">
        <v>340</v>
      </c>
      <c r="AH12" s="935" t="s">
        <v>248</v>
      </c>
    </row>
    <row r="13" spans="1:35" ht="18" customHeight="1">
      <c r="A13" s="906"/>
      <c r="B13" s="2439" t="s">
        <v>1519</v>
      </c>
      <c r="C13" s="2422" t="s">
        <v>787</v>
      </c>
      <c r="D13" s="2422"/>
      <c r="E13" s="1130">
        <f>IF(V13="-","-",ROUNDDOWN(V13,-6)/1000000)</f>
        <v>4670</v>
      </c>
      <c r="F13" s="1130">
        <f t="shared" ref="E13:O14" si="8">IF(W13="-","-",ROUNDDOWN(W13,-6)/1000000)</f>
        <v>4512</v>
      </c>
      <c r="G13" s="1130">
        <f t="shared" si="8"/>
        <v>5243</v>
      </c>
      <c r="H13" s="1130">
        <f t="shared" si="8"/>
        <v>4913</v>
      </c>
      <c r="I13" s="1130">
        <f t="shared" si="8"/>
        <v>5163</v>
      </c>
      <c r="J13" s="1130">
        <f t="shared" si="8"/>
        <v>4831</v>
      </c>
      <c r="K13" s="1130">
        <f t="shared" si="8"/>
        <v>7241</v>
      </c>
      <c r="L13" s="1130">
        <f t="shared" si="8"/>
        <v>8985</v>
      </c>
      <c r="M13" s="1130">
        <f t="shared" si="8"/>
        <v>10529</v>
      </c>
      <c r="N13" s="1130">
        <f t="shared" si="8"/>
        <v>8410</v>
      </c>
      <c r="O13" s="1130">
        <f t="shared" si="8"/>
        <v>10296</v>
      </c>
      <c r="P13" s="1471">
        <f t="shared" si="2"/>
        <v>22.419653063320787</v>
      </c>
      <c r="Q13" s="1471">
        <f t="shared" si="2"/>
        <v>8.2258790738882759</v>
      </c>
      <c r="R13" s="906"/>
      <c r="S13" s="914"/>
      <c r="T13" s="2442" t="s">
        <v>1145</v>
      </c>
      <c r="U13" s="918" t="s">
        <v>769</v>
      </c>
      <c r="V13" s="937">
        <v>4670585050</v>
      </c>
      <c r="W13" s="937">
        <v>4512374764</v>
      </c>
      <c r="X13" s="937">
        <v>5243574205</v>
      </c>
      <c r="Y13" s="937">
        <v>4913294078</v>
      </c>
      <c r="Z13" s="938">
        <v>5163646536</v>
      </c>
      <c r="AA13" s="938">
        <v>4831635911</v>
      </c>
      <c r="AB13" s="938">
        <v>7241253734</v>
      </c>
      <c r="AC13" s="938">
        <v>8985038374</v>
      </c>
      <c r="AD13" s="939">
        <v>10529807797</v>
      </c>
      <c r="AE13" s="939">
        <v>8410684874</v>
      </c>
      <c r="AF13" s="940">
        <v>10296331243</v>
      </c>
      <c r="AG13" s="922">
        <f>IF(OR(AND(AF13&gt;0,AE13&lt;0),AND(AF13&lt;0,AE13&gt;0),AND(AF13&lt;0,AE13&lt;0)),"-",(AF13/AE13-1)*100)</f>
        <v>22.419653063320787</v>
      </c>
      <c r="AH13" s="922">
        <f>IF(OR(AND(V13&gt;0,AF13&lt;0),AND(V13&lt;0,AF13&gt;0),AND(V13&lt;0,AF13&lt;0)),"-",((AF13/V13)^(1/10)-1)*100)</f>
        <v>8.2258790738882759</v>
      </c>
      <c r="AI13" s="911"/>
    </row>
    <row r="14" spans="1:35" ht="18" customHeight="1">
      <c r="A14" s="906"/>
      <c r="B14" s="2440"/>
      <c r="C14" s="2426" t="s">
        <v>788</v>
      </c>
      <c r="D14" s="2181"/>
      <c r="E14" s="1472">
        <f t="shared" si="8"/>
        <v>171</v>
      </c>
      <c r="F14" s="1472">
        <f t="shared" si="8"/>
        <v>114</v>
      </c>
      <c r="G14" s="1472">
        <f t="shared" si="8"/>
        <v>604</v>
      </c>
      <c r="H14" s="1472">
        <f t="shared" si="8"/>
        <v>481</v>
      </c>
      <c r="I14" s="1472">
        <f t="shared" si="8"/>
        <v>309</v>
      </c>
      <c r="J14" s="1472">
        <f t="shared" si="8"/>
        <v>376</v>
      </c>
      <c r="K14" s="1472">
        <f t="shared" si="8"/>
        <v>1142</v>
      </c>
      <c r="L14" s="1472">
        <f t="shared" si="8"/>
        <v>1333</v>
      </c>
      <c r="M14" s="1472">
        <f t="shared" si="8"/>
        <v>1164</v>
      </c>
      <c r="N14" s="1472">
        <f t="shared" si="8"/>
        <v>542</v>
      </c>
      <c r="O14" s="1472">
        <f>IF(AF14="-","-",ROUNDDOWN(AF14,-6)/1000000)</f>
        <v>673</v>
      </c>
      <c r="P14" s="1082">
        <f>AG14</f>
        <v>24.130024305156251</v>
      </c>
      <c r="Q14" s="1082">
        <f t="shared" si="2"/>
        <v>14.683598065883396</v>
      </c>
      <c r="R14" s="906"/>
      <c r="S14" s="914"/>
      <c r="T14" s="2416"/>
      <c r="U14" s="925" t="s">
        <v>770</v>
      </c>
      <c r="V14" s="941">
        <v>171188914</v>
      </c>
      <c r="W14" s="941">
        <v>114992209</v>
      </c>
      <c r="X14" s="941">
        <v>604717232</v>
      </c>
      <c r="Y14" s="941">
        <v>481066053</v>
      </c>
      <c r="Z14" s="942">
        <v>309592469</v>
      </c>
      <c r="AA14" s="942">
        <v>376318116</v>
      </c>
      <c r="AB14" s="942">
        <v>1142620252</v>
      </c>
      <c r="AC14" s="942">
        <v>1333793240</v>
      </c>
      <c r="AD14" s="943">
        <v>1164524996</v>
      </c>
      <c r="AE14" s="943">
        <v>542765077</v>
      </c>
      <c r="AF14" s="944">
        <v>673734422</v>
      </c>
      <c r="AG14" s="929">
        <f>IF(OR(AND(AF14&gt;0,AE14&lt;0),AND(AF14&lt;0,AE14&gt;0),AND(AF14&lt;0,AE14&lt;0)),"-",(AF14/AE14-1)*100)</f>
        <v>24.130024305156251</v>
      </c>
      <c r="AH14" s="929">
        <f>IF(OR(AND(V14&gt;0,AF14&lt;0),AND(V14&lt;0,AF14&gt;0),AND(V14&lt;0,AF14&lt;0)),"-",((AF14/V14)^(1/10)-1)*100)</f>
        <v>14.683598065883396</v>
      </c>
      <c r="AI14" s="911"/>
    </row>
    <row r="15" spans="1:35" ht="18" customHeight="1">
      <c r="A15" s="906"/>
      <c r="B15" s="2441"/>
      <c r="C15" s="2427" t="s">
        <v>789</v>
      </c>
      <c r="D15" s="2428"/>
      <c r="E15" s="1128">
        <f>IF(V15="-","-",ROUND(V15,1))</f>
        <v>3.7</v>
      </c>
      <c r="F15" s="1128">
        <f t="shared" ref="F15:O15" si="9">IF(W15="-","-",ROUND(W15,1))</f>
        <v>2.5</v>
      </c>
      <c r="G15" s="1128">
        <f t="shared" si="9"/>
        <v>11.5</v>
      </c>
      <c r="H15" s="1128">
        <f t="shared" si="9"/>
        <v>9.8000000000000007</v>
      </c>
      <c r="I15" s="1128">
        <f t="shared" si="9"/>
        <v>6</v>
      </c>
      <c r="J15" s="1128">
        <f t="shared" si="9"/>
        <v>7.8</v>
      </c>
      <c r="K15" s="1128">
        <f t="shared" si="9"/>
        <v>15.8</v>
      </c>
      <c r="L15" s="1128">
        <f t="shared" si="9"/>
        <v>14.8</v>
      </c>
      <c r="M15" s="1128">
        <f t="shared" si="9"/>
        <v>11.1</v>
      </c>
      <c r="N15" s="1128">
        <f t="shared" si="9"/>
        <v>6.5</v>
      </c>
      <c r="O15" s="1128">
        <f t="shared" si="9"/>
        <v>6.5</v>
      </c>
      <c r="P15" s="1128" t="str">
        <f t="shared" si="2"/>
        <v>-</v>
      </c>
      <c r="Q15" s="1128" t="str">
        <f t="shared" si="2"/>
        <v>-</v>
      </c>
      <c r="R15" s="906"/>
      <c r="S15" s="914"/>
      <c r="T15" s="2417"/>
      <c r="U15" s="930" t="s">
        <v>771</v>
      </c>
      <c r="V15" s="945">
        <f t="shared" ref="V15:AD15" si="10">IF(V13="-","-",V14/V13*100)</f>
        <v>3.6652563258643585</v>
      </c>
      <c r="W15" s="945">
        <f t="shared" si="10"/>
        <v>2.5483745259240171</v>
      </c>
      <c r="X15" s="945">
        <f t="shared" si="10"/>
        <v>11.532538843893409</v>
      </c>
      <c r="Y15" s="945">
        <f t="shared" si="10"/>
        <v>9.7911105128847122</v>
      </c>
      <c r="Z15" s="946">
        <f t="shared" si="10"/>
        <v>5.995616989690868</v>
      </c>
      <c r="AA15" s="946">
        <f t="shared" si="10"/>
        <v>7.7886273496570997</v>
      </c>
      <c r="AB15" s="946">
        <f t="shared" si="10"/>
        <v>15.779315212157707</v>
      </c>
      <c r="AC15" s="946">
        <f t="shared" si="10"/>
        <v>14.844602599134097</v>
      </c>
      <c r="AD15" s="947">
        <f t="shared" si="10"/>
        <v>11.059318635728371</v>
      </c>
      <c r="AE15" s="948">
        <f>IF(AE13="-","-",AE14/AE13*100)</f>
        <v>6.4532803824080123</v>
      </c>
      <c r="AF15" s="949">
        <f>IF(AF13="-","-",AF14/AF13*100)</f>
        <v>6.5434416016679817</v>
      </c>
      <c r="AG15" s="935" t="s">
        <v>340</v>
      </c>
      <c r="AH15" s="935" t="s">
        <v>248</v>
      </c>
    </row>
    <row r="16" spans="1:35" ht="18" customHeight="1">
      <c r="A16" s="906"/>
      <c r="B16" s="2429" t="s">
        <v>1520</v>
      </c>
      <c r="C16" s="2422" t="s">
        <v>787</v>
      </c>
      <c r="D16" s="2422"/>
      <c r="E16" s="1130">
        <f>IF(V19="-","-",ROUNDDOWN(V19,-6)/1000000)</f>
        <v>1250</v>
      </c>
      <c r="F16" s="1130">
        <f t="shared" ref="F16:O17" si="11">IF(W19="-","-",ROUNDDOWN(W19,-6)/1000000)</f>
        <v>493</v>
      </c>
      <c r="G16" s="1130">
        <f t="shared" si="11"/>
        <v>583</v>
      </c>
      <c r="H16" s="1130">
        <f t="shared" si="11"/>
        <v>645</v>
      </c>
      <c r="I16" s="1130">
        <f t="shared" si="11"/>
        <v>577</v>
      </c>
      <c r="J16" s="1130">
        <f t="shared" si="11"/>
        <v>389</v>
      </c>
      <c r="K16" s="1130">
        <f t="shared" si="11"/>
        <v>85</v>
      </c>
      <c r="L16" s="1130">
        <f t="shared" si="11"/>
        <v>99</v>
      </c>
      <c r="M16" s="1130">
        <f t="shared" si="11"/>
        <v>580</v>
      </c>
      <c r="N16" s="1130">
        <f>IF(AE19="-","-",ROUNDDOWN(AE19,-6)/1000000)</f>
        <v>1119</v>
      </c>
      <c r="O16" s="1130">
        <f t="shared" si="11"/>
        <v>1388</v>
      </c>
      <c r="P16" s="1471">
        <f>AG19</f>
        <v>24.079836287312983</v>
      </c>
      <c r="Q16" s="1471">
        <f t="shared" ref="P16:Q24" si="12">AH19</f>
        <v>1.0570672285829197</v>
      </c>
      <c r="R16" s="906"/>
      <c r="S16" s="914"/>
      <c r="T16" s="2432" t="s">
        <v>1148</v>
      </c>
      <c r="U16" s="2135" t="s">
        <v>769</v>
      </c>
      <c r="V16" s="2136">
        <v>5920609196</v>
      </c>
      <c r="W16" s="2136">
        <v>5006366954</v>
      </c>
      <c r="X16" s="2136">
        <v>5827252566</v>
      </c>
      <c r="Y16" s="2136">
        <v>5559278527</v>
      </c>
      <c r="Z16" s="2136">
        <v>5741183182</v>
      </c>
      <c r="AA16" s="2136">
        <v>5221211346</v>
      </c>
      <c r="AB16" s="2136">
        <v>7326784863</v>
      </c>
      <c r="AC16" s="2136">
        <v>9084546077</v>
      </c>
      <c r="AD16" s="2137" t="s">
        <v>1170</v>
      </c>
      <c r="AE16" s="2137" t="s">
        <v>1534</v>
      </c>
      <c r="AF16" s="2138" t="s">
        <v>248</v>
      </c>
      <c r="AG16" s="2139" t="e">
        <f>IF(OR(AND(AF16&gt;0,AE16&lt;0),AND(AF16&lt;0,AE16&gt;0),AND(AF16&lt;0,AE16&lt;0)),"-",(AF16/AE16-1)*100)</f>
        <v>#VALUE!</v>
      </c>
      <c r="AH16" s="2139" t="e">
        <f>IF(OR(AND(V16&gt;0,AF16&lt;0),AND(V16&lt;0,AF16&gt;0),AND(V16&lt;0,AF16&lt;0)),"-",((AF16/V16)^(1/10)-1)*100)</f>
        <v>#VALUE!</v>
      </c>
      <c r="AI16" s="851" t="s">
        <v>1686</v>
      </c>
    </row>
    <row r="17" spans="1:34" ht="18" customHeight="1">
      <c r="A17" s="906"/>
      <c r="B17" s="2430"/>
      <c r="C17" s="2426" t="s">
        <v>1296</v>
      </c>
      <c r="D17" s="2181"/>
      <c r="E17" s="1472">
        <f>IF(V20="-","-",ROUNDDOWN(V20,-6)/1000000)</f>
        <v>65</v>
      </c>
      <c r="F17" s="1472">
        <f t="shared" si="11"/>
        <v>-3</v>
      </c>
      <c r="G17" s="1472">
        <f t="shared" si="11"/>
        <v>60</v>
      </c>
      <c r="H17" s="1472">
        <f t="shared" si="11"/>
        <v>102</v>
      </c>
      <c r="I17" s="1472">
        <f t="shared" si="11"/>
        <v>59</v>
      </c>
      <c r="J17" s="1472">
        <f t="shared" si="11"/>
        <v>23</v>
      </c>
      <c r="K17" s="1472">
        <f t="shared" si="11"/>
        <v>58</v>
      </c>
      <c r="L17" s="1472">
        <f t="shared" si="11"/>
        <v>27</v>
      </c>
      <c r="M17" s="1472">
        <f t="shared" si="11"/>
        <v>-18</v>
      </c>
      <c r="N17" s="1472">
        <f t="shared" si="11"/>
        <v>23</v>
      </c>
      <c r="O17" s="1472">
        <f t="shared" si="11"/>
        <v>61</v>
      </c>
      <c r="P17" s="1082">
        <f t="shared" si="12"/>
        <v>166.527662146702</v>
      </c>
      <c r="Q17" s="1082">
        <f t="shared" si="12"/>
        <v>-0.64753719658424691</v>
      </c>
      <c r="R17" s="906"/>
      <c r="S17" s="914"/>
      <c r="T17" s="2433"/>
      <c r="U17" s="2140" t="s">
        <v>770</v>
      </c>
      <c r="V17" s="2141">
        <v>237146333</v>
      </c>
      <c r="W17" s="2141">
        <v>111600264</v>
      </c>
      <c r="X17" s="2141">
        <v>665283656</v>
      </c>
      <c r="Y17" s="2141">
        <v>583617355</v>
      </c>
      <c r="Z17" s="2141">
        <v>369216309</v>
      </c>
      <c r="AA17" s="2141">
        <v>400157137</v>
      </c>
      <c r="AB17" s="2141">
        <v>1200794208</v>
      </c>
      <c r="AC17" s="2141">
        <v>1361665938</v>
      </c>
      <c r="AD17" s="2142" t="s">
        <v>1170</v>
      </c>
      <c r="AE17" s="2142" t="s">
        <v>1534</v>
      </c>
      <c r="AF17" s="2143" t="s">
        <v>248</v>
      </c>
      <c r="AG17" s="2144" t="e">
        <f>IF(OR(AND(AF17&gt;0,AE17&lt;0),AND(AF17&lt;0,AE17&gt;0),AND(AF17&lt;0,AE17&lt;0)),"-",(AF17/AE17-1)*100)</f>
        <v>#VALUE!</v>
      </c>
      <c r="AH17" s="2144" t="e">
        <f>IF(OR(AND(V17&gt;0,AF17&lt;0),AND(V17&lt;0,AF17&gt;0),AND(V17&lt;0,AF17&lt;0)),"-",((AF17/V17)^(1/10)-1)*100)</f>
        <v>#VALUE!</v>
      </c>
    </row>
    <row r="18" spans="1:34" ht="18" customHeight="1" thickBot="1">
      <c r="A18" s="906"/>
      <c r="B18" s="2431"/>
      <c r="C18" s="2427" t="s">
        <v>789</v>
      </c>
      <c r="D18" s="2428"/>
      <c r="E18" s="1128">
        <f>IF(V21="-","-",ROUND(V21,1))</f>
        <v>5.3</v>
      </c>
      <c r="F18" s="1128">
        <f t="shared" ref="F18:O18" si="13">IF(W21="-","-",ROUND(W21,1))</f>
        <v>-0.7</v>
      </c>
      <c r="G18" s="1128">
        <f t="shared" si="13"/>
        <v>10.4</v>
      </c>
      <c r="H18" s="1128">
        <f>IF(Y21="-","-",ROUND(Y21,1))</f>
        <v>15.9</v>
      </c>
      <c r="I18" s="1128">
        <f>IF(Z21="-","-",ROUND(Z21,1))</f>
        <v>10.3</v>
      </c>
      <c r="J18" s="1128">
        <f t="shared" si="13"/>
        <v>6.1</v>
      </c>
      <c r="K18" s="1128">
        <f t="shared" si="13"/>
        <v>68</v>
      </c>
      <c r="L18" s="1128">
        <f t="shared" si="13"/>
        <v>28</v>
      </c>
      <c r="M18" s="1128">
        <f t="shared" si="13"/>
        <v>-3.2</v>
      </c>
      <c r="N18" s="1128">
        <f t="shared" si="13"/>
        <v>2.1</v>
      </c>
      <c r="O18" s="1128">
        <f t="shared" si="13"/>
        <v>4.5</v>
      </c>
      <c r="P18" s="1127" t="str">
        <f t="shared" si="12"/>
        <v>-</v>
      </c>
      <c r="Q18" s="1127" t="str">
        <f t="shared" si="12"/>
        <v>-</v>
      </c>
      <c r="R18" s="906"/>
      <c r="S18" s="914"/>
      <c r="T18" s="2434"/>
      <c r="U18" s="2145" t="s">
        <v>771</v>
      </c>
      <c r="V18" s="2146">
        <f t="shared" ref="V18:AF18" si="14">IF(V16="-","-",V17/V16*100)</f>
        <v>4.0054380410755286</v>
      </c>
      <c r="W18" s="2146">
        <f t="shared" si="14"/>
        <v>2.2291666796584564</v>
      </c>
      <c r="X18" s="2146">
        <f t="shared" si="14"/>
        <v>11.416763705793356</v>
      </c>
      <c r="Y18" s="2146">
        <f t="shared" si="14"/>
        <v>10.49807726246345</v>
      </c>
      <c r="Z18" s="2147">
        <f t="shared" si="14"/>
        <v>6.431014257785443</v>
      </c>
      <c r="AA18" s="2147">
        <f t="shared" si="14"/>
        <v>7.664067023576103</v>
      </c>
      <c r="AB18" s="2147">
        <f t="shared" si="14"/>
        <v>16.389101501587245</v>
      </c>
      <c r="AC18" s="2147">
        <f t="shared" si="14"/>
        <v>14.988816463240004</v>
      </c>
      <c r="AD18" s="2148" t="str">
        <f t="shared" si="14"/>
        <v>-</v>
      </c>
      <c r="AE18" s="2149" t="str">
        <f t="shared" si="14"/>
        <v>-</v>
      </c>
      <c r="AF18" s="2150" t="str">
        <f t="shared" si="14"/>
        <v>-</v>
      </c>
      <c r="AG18" s="2151" t="s">
        <v>340</v>
      </c>
      <c r="AH18" s="2151" t="s">
        <v>248</v>
      </c>
    </row>
    <row r="19" spans="1:34" ht="18" customHeight="1">
      <c r="A19" s="906"/>
      <c r="B19" s="2435" t="s">
        <v>791</v>
      </c>
      <c r="C19" s="2422" t="s">
        <v>787</v>
      </c>
      <c r="D19" s="2422"/>
      <c r="E19" s="1130">
        <f t="shared" ref="E19:O20" si="15">IF(V22="-","-",ROUNDDOWN(V22,-6)/1000000)</f>
        <v>-560</v>
      </c>
      <c r="F19" s="1130">
        <f t="shared" si="15"/>
        <v>-511</v>
      </c>
      <c r="G19" s="1130">
        <f t="shared" si="15"/>
        <v>-526</v>
      </c>
      <c r="H19" s="1130">
        <f t="shared" si="15"/>
        <v>-493</v>
      </c>
      <c r="I19" s="1130">
        <f t="shared" si="15"/>
        <v>-470</v>
      </c>
      <c r="J19" s="1130">
        <f t="shared" si="15"/>
        <v>-422</v>
      </c>
      <c r="K19" s="1130">
        <f t="shared" si="15"/>
        <v>-330</v>
      </c>
      <c r="L19" s="1130">
        <f t="shared" si="15"/>
        <v>-292</v>
      </c>
      <c r="M19" s="1130">
        <f t="shared" si="15"/>
        <v>-310</v>
      </c>
      <c r="N19" s="1130">
        <f t="shared" si="15"/>
        <v>-301</v>
      </c>
      <c r="O19" s="1130">
        <f t="shared" si="15"/>
        <v>-325</v>
      </c>
      <c r="P19" s="1471" t="str">
        <f t="shared" si="12"/>
        <v>-</v>
      </c>
      <c r="Q19" s="1471" t="str">
        <f t="shared" si="12"/>
        <v>-</v>
      </c>
      <c r="R19" s="906"/>
      <c r="S19" s="914"/>
      <c r="T19" s="2415" t="s">
        <v>1149</v>
      </c>
      <c r="U19" s="918" t="s">
        <v>769</v>
      </c>
      <c r="V19" s="950">
        <v>1250024146</v>
      </c>
      <c r="W19" s="950">
        <v>493992190</v>
      </c>
      <c r="X19" s="950">
        <v>583678361</v>
      </c>
      <c r="Y19" s="950">
        <v>645984449</v>
      </c>
      <c r="Z19" s="950">
        <v>577536646</v>
      </c>
      <c r="AA19" s="950">
        <v>389575435</v>
      </c>
      <c r="AB19" s="950">
        <v>85531129</v>
      </c>
      <c r="AC19" s="950">
        <v>99507703</v>
      </c>
      <c r="AD19" s="951">
        <v>580679550</v>
      </c>
      <c r="AE19" s="951">
        <v>1119139166</v>
      </c>
      <c r="AF19" s="952">
        <v>1388626045</v>
      </c>
      <c r="AG19" s="922">
        <f>IF(OR(AND(AF19&gt;0,AE19&lt;0),AND(AF19&lt;0,AE19&gt;0),AND(AF19&lt;0,AE19&lt;0)),"-",(AF19/AE19-1)*100)</f>
        <v>24.079836287312983</v>
      </c>
      <c r="AH19" s="922">
        <f>IF(OR(AND(V19&gt;0,AF19&lt;0),AND(V19&lt;0,AF19&gt;0),AND(V19&lt;0,AF19&lt;0)),"-",((AF19/V19)^(1/10)-1)*100)</f>
        <v>1.0570672285829197</v>
      </c>
    </row>
    <row r="20" spans="1:34" ht="18" customHeight="1">
      <c r="A20" s="906"/>
      <c r="B20" s="2420"/>
      <c r="C20" s="2426" t="s">
        <v>788</v>
      </c>
      <c r="D20" s="2181"/>
      <c r="E20" s="1472">
        <f t="shared" si="15"/>
        <v>208</v>
      </c>
      <c r="F20" s="1472">
        <f t="shared" si="15"/>
        <v>213</v>
      </c>
      <c r="G20" s="1472">
        <f t="shared" si="15"/>
        <v>103</v>
      </c>
      <c r="H20" s="1472">
        <f t="shared" si="15"/>
        <v>99</v>
      </c>
      <c r="I20" s="1472">
        <f t="shared" si="15"/>
        <v>100</v>
      </c>
      <c r="J20" s="1472">
        <f t="shared" si="15"/>
        <v>91</v>
      </c>
      <c r="K20" s="1472">
        <f t="shared" si="15"/>
        <v>19</v>
      </c>
      <c r="L20" s="1472">
        <f t="shared" si="15"/>
        <v>18</v>
      </c>
      <c r="M20" s="1472">
        <f t="shared" si="15"/>
        <v>45</v>
      </c>
      <c r="N20" s="1472">
        <f t="shared" si="15"/>
        <v>89</v>
      </c>
      <c r="O20" s="1472">
        <f t="shared" si="15"/>
        <v>147</v>
      </c>
      <c r="P20" s="1082" t="str">
        <f t="shared" si="12"/>
        <v>-</v>
      </c>
      <c r="Q20" s="1082" t="str">
        <f t="shared" si="12"/>
        <v>-</v>
      </c>
      <c r="R20" s="906"/>
      <c r="S20" s="914"/>
      <c r="T20" s="2416"/>
      <c r="U20" s="925" t="s">
        <v>770</v>
      </c>
      <c r="V20" s="954">
        <v>65957419</v>
      </c>
      <c r="W20" s="954">
        <v>-3391945</v>
      </c>
      <c r="X20" s="954">
        <v>60566424</v>
      </c>
      <c r="Y20" s="954">
        <v>102551302</v>
      </c>
      <c r="Z20" s="954">
        <v>59623840</v>
      </c>
      <c r="AA20" s="954">
        <v>23839021</v>
      </c>
      <c r="AB20" s="954">
        <v>58173956</v>
      </c>
      <c r="AC20" s="954">
        <v>27872698</v>
      </c>
      <c r="AD20" s="955">
        <v>-18620115</v>
      </c>
      <c r="AE20" s="955">
        <v>23190373</v>
      </c>
      <c r="AF20" s="956">
        <v>61808759</v>
      </c>
      <c r="AG20" s="929">
        <f>IF(OR(AND(AF20&gt;0,AE20&lt;0),AND(AF20&lt;0,AE20&gt;0),AND(AF20&lt;0,AE20&lt;0)),"-",(AF20/AE20-1)*100)</f>
        <v>166.527662146702</v>
      </c>
      <c r="AH20" s="929">
        <f>IF(OR(AND(V20&gt;0,AF20&lt;0),AND(V20&lt;0,AF20&gt;0),AND(V20&lt;0,AF20&lt;0)),"-",((AF20/V20)^(1/10)-1)*100)</f>
        <v>-0.64753719658424691</v>
      </c>
    </row>
    <row r="21" spans="1:34" ht="18" customHeight="1" thickBot="1">
      <c r="A21" s="906"/>
      <c r="B21" s="2421"/>
      <c r="C21" s="2427" t="s">
        <v>789</v>
      </c>
      <c r="D21" s="2428"/>
      <c r="E21" s="1128" t="str">
        <f>IF(V24="-","-",ROUND(V24,1))</f>
        <v>-</v>
      </c>
      <c r="F21" s="1128" t="str">
        <f t="shared" ref="F21:O21" si="16">IF(W24="-","-",ROUND(W24,1))</f>
        <v>-</v>
      </c>
      <c r="G21" s="1128" t="str">
        <f t="shared" si="16"/>
        <v>-</v>
      </c>
      <c r="H21" s="1128" t="str">
        <f t="shared" si="16"/>
        <v>-</v>
      </c>
      <c r="I21" s="1128" t="str">
        <f t="shared" si="16"/>
        <v>-</v>
      </c>
      <c r="J21" s="1128" t="str">
        <f t="shared" si="16"/>
        <v>-</v>
      </c>
      <c r="K21" s="1128" t="str">
        <f t="shared" si="16"/>
        <v>-</v>
      </c>
      <c r="L21" s="1128" t="str">
        <f t="shared" si="16"/>
        <v>-</v>
      </c>
      <c r="M21" s="1128" t="str">
        <f t="shared" si="16"/>
        <v>-</v>
      </c>
      <c r="N21" s="1128" t="str">
        <f t="shared" si="16"/>
        <v>-</v>
      </c>
      <c r="O21" s="1128" t="str">
        <f t="shared" si="16"/>
        <v>-</v>
      </c>
      <c r="P21" s="1128" t="str">
        <f t="shared" si="12"/>
        <v>-</v>
      </c>
      <c r="Q21" s="1128" t="str">
        <f t="shared" si="12"/>
        <v>-</v>
      </c>
      <c r="R21" s="906"/>
      <c r="S21" s="914"/>
      <c r="T21" s="2417"/>
      <c r="U21" s="930" t="s">
        <v>771</v>
      </c>
      <c r="V21" s="957">
        <f t="shared" ref="V21:AF21" si="17">IF(V19="-","-",V20/V19*100)</f>
        <v>5.2764915950671565</v>
      </c>
      <c r="W21" s="957">
        <f t="shared" si="17"/>
        <v>-0.68663939808441099</v>
      </c>
      <c r="X21" s="957">
        <f t="shared" si="17"/>
        <v>10.376677986868183</v>
      </c>
      <c r="Y21" s="957">
        <f t="shared" si="17"/>
        <v>15.875196710811224</v>
      </c>
      <c r="Z21" s="931">
        <f t="shared" si="17"/>
        <v>10.32381934773365</v>
      </c>
      <c r="AA21" s="931">
        <f t="shared" si="17"/>
        <v>6.1192310546993287</v>
      </c>
      <c r="AB21" s="931">
        <f t="shared" si="17"/>
        <v>68.014951609021793</v>
      </c>
      <c r="AC21" s="931">
        <f t="shared" si="17"/>
        <v>28.010593310550036</v>
      </c>
      <c r="AD21" s="932">
        <f t="shared" si="17"/>
        <v>-3.2066076719939591</v>
      </c>
      <c r="AE21" s="958">
        <f t="shared" si="17"/>
        <v>2.0721616850285445</v>
      </c>
      <c r="AF21" s="959">
        <f t="shared" si="17"/>
        <v>4.4510730028832208</v>
      </c>
      <c r="AG21" s="960" t="s">
        <v>340</v>
      </c>
      <c r="AH21" s="960" t="s">
        <v>248</v>
      </c>
    </row>
    <row r="22" spans="1:34" ht="18" customHeight="1">
      <c r="A22" s="906"/>
      <c r="B22" s="2419" t="s">
        <v>792</v>
      </c>
      <c r="C22" s="2422" t="s">
        <v>787</v>
      </c>
      <c r="D22" s="2422"/>
      <c r="E22" s="1473">
        <f t="shared" ref="E22:O23" si="18">ROUNDDOWN(V25,-6)/1000000</f>
        <v>68607</v>
      </c>
      <c r="F22" s="1473">
        <f t="shared" si="18"/>
        <v>67179</v>
      </c>
      <c r="G22" s="1473">
        <f t="shared" si="18"/>
        <v>75153</v>
      </c>
      <c r="H22" s="1473">
        <f t="shared" si="18"/>
        <v>79908</v>
      </c>
      <c r="I22" s="1473">
        <f t="shared" si="18"/>
        <v>78143</v>
      </c>
      <c r="J22" s="1473">
        <f t="shared" si="18"/>
        <v>74874</v>
      </c>
      <c r="K22" s="1473">
        <f t="shared" si="18"/>
        <v>81482</v>
      </c>
      <c r="L22" s="1473">
        <f t="shared" si="18"/>
        <v>88778</v>
      </c>
      <c r="M22" s="1473">
        <f t="shared" si="18"/>
        <v>97606</v>
      </c>
      <c r="N22" s="1473">
        <f t="shared" si="18"/>
        <v>104021</v>
      </c>
      <c r="O22" s="1473">
        <f t="shared" si="18"/>
        <v>113854</v>
      </c>
      <c r="P22" s="1082">
        <f t="shared" si="12"/>
        <v>9.4522474640321938</v>
      </c>
      <c r="Q22" s="1082">
        <f t="shared" si="12"/>
        <v>5.1956422394338286</v>
      </c>
      <c r="R22" s="906"/>
      <c r="S22" s="914"/>
      <c r="T22" s="2423" t="s">
        <v>773</v>
      </c>
      <c r="U22" s="918" t="s">
        <v>769</v>
      </c>
      <c r="V22" s="937">
        <v>-560968393</v>
      </c>
      <c r="W22" s="938">
        <v>-511253160</v>
      </c>
      <c r="X22" s="937">
        <v>-526044220</v>
      </c>
      <c r="Y22" s="938">
        <v>-493031751</v>
      </c>
      <c r="Z22" s="938">
        <v>-470259585</v>
      </c>
      <c r="AA22" s="938">
        <v>-422039207</v>
      </c>
      <c r="AB22" s="938">
        <v>-330563147</v>
      </c>
      <c r="AC22" s="938">
        <v>-292253613</v>
      </c>
      <c r="AD22" s="939">
        <v>-310520141</v>
      </c>
      <c r="AE22" s="939">
        <v>-301803672</v>
      </c>
      <c r="AF22" s="940">
        <v>-325900740</v>
      </c>
      <c r="AG22" s="922" t="s">
        <v>340</v>
      </c>
      <c r="AH22" s="922" t="s">
        <v>248</v>
      </c>
    </row>
    <row r="23" spans="1:34" ht="18" customHeight="1">
      <c r="A23" s="906"/>
      <c r="B23" s="2420"/>
      <c r="C23" s="2426" t="s">
        <v>788</v>
      </c>
      <c r="D23" s="2181"/>
      <c r="E23" s="1473">
        <f t="shared" si="18"/>
        <v>34491</v>
      </c>
      <c r="F23" s="1473">
        <f t="shared" si="18"/>
        <v>32396</v>
      </c>
      <c r="G23" s="1473">
        <f t="shared" si="18"/>
        <v>36071</v>
      </c>
      <c r="H23" s="1473">
        <f t="shared" si="18"/>
        <v>37123</v>
      </c>
      <c r="I23" s="1473">
        <f t="shared" si="18"/>
        <v>36009</v>
      </c>
      <c r="J23" s="1473">
        <f t="shared" si="18"/>
        <v>36227</v>
      </c>
      <c r="K23" s="1473">
        <f t="shared" si="18"/>
        <v>41574</v>
      </c>
      <c r="L23" s="1473">
        <f t="shared" si="18"/>
        <v>43778</v>
      </c>
      <c r="M23" s="1473">
        <f t="shared" si="18"/>
        <v>48937</v>
      </c>
      <c r="N23" s="1473">
        <f t="shared" si="18"/>
        <v>54206</v>
      </c>
      <c r="O23" s="1473">
        <f t="shared" si="18"/>
        <v>59847</v>
      </c>
      <c r="P23" s="1082">
        <f t="shared" si="12"/>
        <v>10.406847071218994</v>
      </c>
      <c r="Q23" s="1082">
        <f t="shared" si="12"/>
        <v>5.6655643894753194</v>
      </c>
      <c r="R23" s="906"/>
      <c r="S23" s="914"/>
      <c r="T23" s="2424"/>
      <c r="U23" s="925" t="s">
        <v>770</v>
      </c>
      <c r="V23" s="941">
        <v>208550095</v>
      </c>
      <c r="W23" s="942">
        <v>213129139</v>
      </c>
      <c r="X23" s="941">
        <v>103012431</v>
      </c>
      <c r="Y23" s="942">
        <v>99477963</v>
      </c>
      <c r="Z23" s="942">
        <v>100317691</v>
      </c>
      <c r="AA23" s="942">
        <v>91519559</v>
      </c>
      <c r="AB23" s="942">
        <v>19431467</v>
      </c>
      <c r="AC23" s="942">
        <v>18436681</v>
      </c>
      <c r="AD23" s="943">
        <v>45946148</v>
      </c>
      <c r="AE23" s="943">
        <v>89649522</v>
      </c>
      <c r="AF23" s="944">
        <v>147292764</v>
      </c>
      <c r="AG23" s="929" t="s">
        <v>340</v>
      </c>
      <c r="AH23" s="929" t="s">
        <v>340</v>
      </c>
    </row>
    <row r="24" spans="1:34" ht="18" customHeight="1" thickBot="1">
      <c r="A24" s="906"/>
      <c r="B24" s="2421"/>
      <c r="C24" s="2427" t="s">
        <v>789</v>
      </c>
      <c r="D24" s="2428"/>
      <c r="E24" s="1128">
        <f>IF(V27="-","-",ROUND(V27,1))</f>
        <v>50.3</v>
      </c>
      <c r="F24" s="1128">
        <f t="shared" ref="F24:O24" si="19">IF(W27="-","-",ROUND(W27,1))</f>
        <v>48.2</v>
      </c>
      <c r="G24" s="1128">
        <f t="shared" si="19"/>
        <v>48</v>
      </c>
      <c r="H24" s="1128">
        <f t="shared" si="19"/>
        <v>46.5</v>
      </c>
      <c r="I24" s="1128">
        <f t="shared" si="19"/>
        <v>46.1</v>
      </c>
      <c r="J24" s="1128">
        <f t="shared" si="19"/>
        <v>48.4</v>
      </c>
      <c r="K24" s="1128">
        <f t="shared" si="19"/>
        <v>51</v>
      </c>
      <c r="L24" s="1128">
        <f t="shared" si="19"/>
        <v>49.3</v>
      </c>
      <c r="M24" s="1128">
        <f t="shared" si="19"/>
        <v>50.1</v>
      </c>
      <c r="N24" s="1128">
        <f t="shared" si="19"/>
        <v>52.1</v>
      </c>
      <c r="O24" s="1128">
        <f t="shared" si="19"/>
        <v>52.6</v>
      </c>
      <c r="P24" s="1127" t="str">
        <f>AG27</f>
        <v>-</v>
      </c>
      <c r="Q24" s="1127" t="str">
        <f t="shared" si="12"/>
        <v>-</v>
      </c>
      <c r="R24" s="906"/>
      <c r="S24" s="914"/>
      <c r="T24" s="2425"/>
      <c r="U24" s="930" t="s">
        <v>771</v>
      </c>
      <c r="V24" s="957" t="s">
        <v>248</v>
      </c>
      <c r="W24" s="957" t="s">
        <v>248</v>
      </c>
      <c r="X24" s="957" t="s">
        <v>248</v>
      </c>
      <c r="Y24" s="957" t="s">
        <v>248</v>
      </c>
      <c r="Z24" s="931" t="s">
        <v>248</v>
      </c>
      <c r="AA24" s="931" t="s">
        <v>248</v>
      </c>
      <c r="AB24" s="931" t="s">
        <v>248</v>
      </c>
      <c r="AC24" s="931" t="s">
        <v>248</v>
      </c>
      <c r="AD24" s="932" t="s">
        <v>248</v>
      </c>
      <c r="AE24" s="958" t="s">
        <v>248</v>
      </c>
      <c r="AF24" s="959" t="s">
        <v>248</v>
      </c>
      <c r="AG24" s="960" t="s">
        <v>248</v>
      </c>
      <c r="AH24" s="960" t="s">
        <v>248</v>
      </c>
    </row>
    <row r="25" spans="1:34" s="973" customFormat="1" ht="18" customHeight="1">
      <c r="A25" s="962"/>
      <c r="B25" s="963"/>
      <c r="C25" s="964"/>
      <c r="D25" s="965"/>
      <c r="E25" s="966"/>
      <c r="F25" s="966"/>
      <c r="G25" s="966"/>
      <c r="H25" s="966"/>
      <c r="I25" s="966"/>
      <c r="J25" s="966"/>
      <c r="K25" s="966"/>
      <c r="L25" s="966"/>
      <c r="M25" s="966"/>
      <c r="N25" s="966"/>
      <c r="O25" s="966"/>
      <c r="P25" s="924"/>
      <c r="Q25" s="924"/>
      <c r="R25" s="962"/>
      <c r="S25" s="967"/>
      <c r="T25" s="2423" t="s">
        <v>774</v>
      </c>
      <c r="U25" s="918" t="s">
        <v>769</v>
      </c>
      <c r="V25" s="950">
        <f>IF(ISERROR(SUM(V7,V10,V13,V19,V22)),"-",SUM(V7,V10,V13,V19,V22))</f>
        <v>68607412214</v>
      </c>
      <c r="W25" s="950">
        <f t="shared" ref="W25:AE26" si="20">IF(ISERROR(SUM(W7,W10,W13,W19,W22)),"-",SUM(W7,W10,W13,W19,W22))</f>
        <v>67179638767</v>
      </c>
      <c r="X25" s="950">
        <f t="shared" si="20"/>
        <v>75153795456</v>
      </c>
      <c r="Y25" s="950">
        <f t="shared" si="20"/>
        <v>79908597806</v>
      </c>
      <c r="Z25" s="950">
        <f t="shared" si="20"/>
        <v>78143165254</v>
      </c>
      <c r="AA25" s="950">
        <f t="shared" si="20"/>
        <v>74874851916</v>
      </c>
      <c r="AB25" s="950">
        <f t="shared" si="20"/>
        <v>81482517034</v>
      </c>
      <c r="AC25" s="950">
        <f t="shared" si="20"/>
        <v>88778392668</v>
      </c>
      <c r="AD25" s="951">
        <f t="shared" si="20"/>
        <v>97606207402</v>
      </c>
      <c r="AE25" s="951">
        <f t="shared" si="20"/>
        <v>104021676521</v>
      </c>
      <c r="AF25" s="952">
        <v>113854062802</v>
      </c>
      <c r="AG25" s="922">
        <f>IF(OR(AND(AF25&gt;0,AE25&lt;0),AND(AF25&lt;0,AE25&gt;0),AND(AF25&lt;0,AE25&lt;0)),"-",(AF25/AE25-1)*100)</f>
        <v>9.4522474640321938</v>
      </c>
      <c r="AH25" s="922">
        <f>IF(OR(AND(V25&gt;0,AF25&lt;0),AND(V25&lt;0,AF25&gt;0),AND(V25&lt;0,AF25&lt;0)),"-",((AF25/V25)^(1/10)-1)*100)</f>
        <v>5.1956422394338286</v>
      </c>
    </row>
    <row r="26" spans="1:34" ht="18" customHeight="1">
      <c r="A26" s="906"/>
      <c r="B26" s="1081"/>
      <c r="C26" s="975"/>
      <c r="D26" s="975"/>
      <c r="E26" s="714"/>
      <c r="F26" s="714"/>
      <c r="G26" s="714"/>
      <c r="H26" s="714"/>
      <c r="I26" s="714"/>
      <c r="J26" s="714"/>
      <c r="K26" s="714"/>
      <c r="L26" s="714"/>
      <c r="M26" s="714"/>
      <c r="N26" s="714"/>
      <c r="O26" s="714"/>
      <c r="P26" s="714"/>
      <c r="Q26" s="714"/>
      <c r="R26" s="906"/>
      <c r="T26" s="2424"/>
      <c r="U26" s="925" t="s">
        <v>770</v>
      </c>
      <c r="V26" s="954">
        <f>IF(ISERROR(SUM(V8,V11,V14,V20,V23)),"-",SUM(V8,V11,V14,V20,V23))</f>
        <v>34491567063</v>
      </c>
      <c r="W26" s="954">
        <f t="shared" si="20"/>
        <v>32396977642</v>
      </c>
      <c r="X26" s="954">
        <f t="shared" si="20"/>
        <v>36071469196</v>
      </c>
      <c r="Y26" s="954">
        <f t="shared" si="20"/>
        <v>37123422424</v>
      </c>
      <c r="Z26" s="954">
        <f t="shared" si="20"/>
        <v>36009064791</v>
      </c>
      <c r="AA26" s="954">
        <f t="shared" si="20"/>
        <v>36227019265</v>
      </c>
      <c r="AB26" s="954">
        <f t="shared" si="20"/>
        <v>41574491701</v>
      </c>
      <c r="AC26" s="954">
        <f t="shared" si="20"/>
        <v>43778105000</v>
      </c>
      <c r="AD26" s="955">
        <f t="shared" si="20"/>
        <v>48937718092</v>
      </c>
      <c r="AE26" s="955">
        <f t="shared" si="20"/>
        <v>54206540246</v>
      </c>
      <c r="AF26" s="956">
        <v>59847731992</v>
      </c>
      <c r="AG26" s="929">
        <f>IF(OR(AND(AF26&gt;0,AE26&lt;0),AND(AF26&lt;0,AE26&gt;0),AND(AF26&lt;0,AE26&lt;0)),"-",(AF26/AE26-1)*100)</f>
        <v>10.406847071218994</v>
      </c>
      <c r="AH26" s="929">
        <f>IF(OR(AND(V26&gt;0,AF26&lt;0),AND(V26&lt;0,AF26&gt;0),AND(V26&lt;0,AF26&lt;0)),"-",((AF26/V26)^(1/10)-1)*100)</f>
        <v>5.6655643894753194</v>
      </c>
    </row>
    <row r="27" spans="1:34" ht="18.75" customHeight="1" thickBot="1">
      <c r="A27" s="906"/>
      <c r="B27" s="714"/>
      <c r="C27" s="975"/>
      <c r="D27" s="975"/>
      <c r="E27" s="714"/>
      <c r="F27" s="714"/>
      <c r="G27" s="714"/>
      <c r="H27" s="714"/>
      <c r="I27" s="714"/>
      <c r="J27" s="714"/>
      <c r="K27" s="714"/>
      <c r="L27" s="714"/>
      <c r="M27" s="714"/>
      <c r="N27" s="714"/>
      <c r="O27" s="714"/>
      <c r="P27" s="714"/>
      <c r="Q27" s="714"/>
      <c r="R27" s="906"/>
      <c r="T27" s="2425"/>
      <c r="U27" s="930" t="s">
        <v>771</v>
      </c>
      <c r="V27" s="957">
        <f t="shared" ref="V27:AF27" si="21">IF(V25="-","-",V26/V25*100)</f>
        <v>50.273820203878294</v>
      </c>
      <c r="W27" s="957">
        <f t="shared" si="21"/>
        <v>48.224399887535647</v>
      </c>
      <c r="X27" s="957">
        <f t="shared" si="21"/>
        <v>47.996869588733709</v>
      </c>
      <c r="Y27" s="957">
        <f t="shared" si="21"/>
        <v>46.457356834276169</v>
      </c>
      <c r="Z27" s="931">
        <f t="shared" si="21"/>
        <v>46.080888423132777</v>
      </c>
      <c r="AA27" s="931">
        <f t="shared" si="21"/>
        <v>48.383426929033632</v>
      </c>
      <c r="AB27" s="931">
        <f t="shared" si="21"/>
        <v>51.022591366013302</v>
      </c>
      <c r="AC27" s="931">
        <f t="shared" si="21"/>
        <v>49.311666594049228</v>
      </c>
      <c r="AD27" s="932">
        <f t="shared" si="21"/>
        <v>50.137915809437793</v>
      </c>
      <c r="AE27" s="961">
        <f t="shared" si="21"/>
        <v>52.110811956637448</v>
      </c>
      <c r="AF27" s="959">
        <f t="shared" si="21"/>
        <v>52.565302035887207</v>
      </c>
      <c r="AG27" s="960" t="s">
        <v>340</v>
      </c>
      <c r="AH27" s="960" t="s">
        <v>248</v>
      </c>
    </row>
    <row r="28" spans="1:34" ht="15">
      <c r="A28" s="906"/>
      <c r="B28" s="906"/>
      <c r="C28" s="975"/>
      <c r="D28" s="975"/>
      <c r="E28" s="714"/>
      <c r="F28" s="714"/>
      <c r="G28" s="714"/>
      <c r="H28" s="714"/>
      <c r="I28" s="714"/>
      <c r="J28" s="714"/>
      <c r="K28" s="714"/>
      <c r="L28" s="714"/>
      <c r="M28" s="714"/>
      <c r="N28" s="714"/>
      <c r="O28" s="714"/>
      <c r="P28" s="714"/>
      <c r="Q28" s="714"/>
      <c r="R28" s="906"/>
      <c r="T28" s="968"/>
      <c r="U28" s="969"/>
      <c r="V28" s="970"/>
      <c r="W28" s="970"/>
      <c r="X28" s="970"/>
      <c r="Y28" s="970"/>
      <c r="Z28" s="971"/>
      <c r="AA28" s="971"/>
      <c r="AB28" s="971"/>
      <c r="AC28" s="971"/>
      <c r="AD28" s="971"/>
      <c r="AE28" s="971"/>
      <c r="AF28" s="971"/>
      <c r="AG28" s="972"/>
      <c r="AH28" s="972"/>
    </row>
    <row r="29" spans="1:34" ht="12.75" customHeight="1">
      <c r="A29" s="906"/>
      <c r="B29" s="906"/>
      <c r="C29" s="907"/>
      <c r="D29" s="907"/>
      <c r="E29" s="906"/>
      <c r="F29" s="906"/>
      <c r="G29" s="906"/>
      <c r="H29" s="906"/>
      <c r="I29" s="906"/>
      <c r="J29" s="906"/>
      <c r="K29" s="906"/>
      <c r="L29" s="906"/>
      <c r="M29" s="906"/>
      <c r="N29" s="906"/>
      <c r="O29" s="906"/>
      <c r="P29" s="906"/>
      <c r="Q29" s="906"/>
      <c r="R29" s="906"/>
      <c r="T29" s="976"/>
      <c r="U29" s="977"/>
      <c r="V29" s="978"/>
      <c r="W29" s="978"/>
      <c r="X29" s="978"/>
      <c r="Y29" s="978"/>
      <c r="Z29" s="978"/>
      <c r="AA29" s="978"/>
      <c r="AB29" s="978"/>
      <c r="AC29" s="978"/>
      <c r="AD29" s="978"/>
      <c r="AE29" s="978"/>
      <c r="AF29" s="978"/>
      <c r="AG29" s="979"/>
      <c r="AH29" s="979"/>
    </row>
    <row r="30" spans="1:34" ht="12.75" customHeight="1">
      <c r="A30" s="906"/>
      <c r="B30" s="906"/>
      <c r="C30" s="907"/>
      <c r="D30" s="907"/>
      <c r="E30" s="906"/>
      <c r="F30" s="906"/>
      <c r="G30" s="906"/>
      <c r="H30" s="906"/>
      <c r="I30" s="906"/>
      <c r="J30" s="906"/>
      <c r="K30" s="906"/>
      <c r="L30" s="906"/>
      <c r="M30" s="906"/>
      <c r="N30" s="906"/>
      <c r="O30" s="906"/>
      <c r="P30" s="906"/>
      <c r="Q30" s="906"/>
      <c r="R30" s="906"/>
      <c r="T30" s="976"/>
      <c r="U30" s="977"/>
      <c r="V30" s="978"/>
      <c r="W30" s="978"/>
      <c r="X30" s="978"/>
      <c r="Y30" s="978"/>
      <c r="Z30" s="978"/>
      <c r="AA30" s="978"/>
      <c r="AB30" s="978"/>
      <c r="AC30" s="978"/>
      <c r="AD30" s="978"/>
      <c r="AE30" s="978"/>
      <c r="AF30" s="978"/>
      <c r="AG30" s="979"/>
      <c r="AH30" s="979"/>
    </row>
    <row r="31" spans="1:34" ht="12.75" customHeight="1" thickBot="1">
      <c r="A31" s="906"/>
      <c r="B31" s="906"/>
      <c r="C31" s="907"/>
      <c r="D31" s="907"/>
      <c r="E31" s="906"/>
      <c r="F31" s="906"/>
      <c r="G31" s="906"/>
      <c r="H31" s="906"/>
      <c r="I31" s="906"/>
      <c r="J31" s="906"/>
      <c r="K31" s="906"/>
      <c r="L31" s="906"/>
      <c r="M31" s="906"/>
      <c r="N31" s="906"/>
      <c r="O31" s="906"/>
      <c r="P31" s="906"/>
      <c r="Q31" s="906"/>
      <c r="R31" s="906"/>
      <c r="T31" s="910" t="s">
        <v>775</v>
      </c>
    </row>
    <row r="32" spans="1:34" ht="12.75" customHeight="1">
      <c r="A32" s="906"/>
      <c r="B32" s="906"/>
      <c r="C32" s="907"/>
      <c r="D32" s="907"/>
      <c r="E32" s="906"/>
      <c r="F32" s="906"/>
      <c r="G32" s="906"/>
      <c r="H32" s="906"/>
      <c r="I32" s="906"/>
      <c r="J32" s="906"/>
      <c r="K32" s="906"/>
      <c r="L32" s="906"/>
      <c r="M32" s="906"/>
      <c r="N32" s="906"/>
      <c r="O32" s="906"/>
      <c r="P32" s="906"/>
      <c r="Q32" s="906"/>
      <c r="R32" s="906"/>
      <c r="T32" s="915"/>
      <c r="U32" s="915"/>
      <c r="V32" s="980" t="str">
        <f t="shared" ref="V32:AF32" si="22">V5</f>
        <v>2016.3</v>
      </c>
      <c r="W32" s="980" t="str">
        <f t="shared" si="22"/>
        <v>2017.3</v>
      </c>
      <c r="X32" s="980" t="str">
        <f t="shared" si="22"/>
        <v>2018.3</v>
      </c>
      <c r="Y32" s="980" t="str">
        <f t="shared" si="22"/>
        <v>2019.3</v>
      </c>
      <c r="Z32" s="980" t="str">
        <f t="shared" si="22"/>
        <v>2020.3</v>
      </c>
      <c r="AA32" s="980" t="str">
        <f t="shared" si="22"/>
        <v>2021.3</v>
      </c>
      <c r="AB32" s="980" t="str">
        <f t="shared" si="22"/>
        <v>2022.3</v>
      </c>
      <c r="AC32" s="980" t="str">
        <f t="shared" si="22"/>
        <v>2023.3</v>
      </c>
      <c r="AD32" s="980" t="str">
        <f t="shared" si="22"/>
        <v>2024.3</v>
      </c>
      <c r="AE32" s="980" t="str">
        <f t="shared" si="22"/>
        <v>2025.3</v>
      </c>
      <c r="AF32" s="981" t="str">
        <f t="shared" si="22"/>
        <v>2026.3</v>
      </c>
      <c r="AG32" s="982" t="s">
        <v>776</v>
      </c>
      <c r="AH32" s="982" t="s">
        <v>776</v>
      </c>
    </row>
    <row r="33" spans="1:34" ht="19.5">
      <c r="A33" s="906"/>
      <c r="B33" s="906"/>
      <c r="C33" s="907"/>
      <c r="D33" s="907"/>
      <c r="E33" s="906"/>
      <c r="F33" s="906"/>
      <c r="G33" s="906"/>
      <c r="H33" s="906"/>
      <c r="I33" s="906"/>
      <c r="J33" s="906"/>
      <c r="K33" s="906"/>
      <c r="L33" s="906"/>
      <c r="M33" s="906"/>
      <c r="N33" s="906"/>
      <c r="O33" s="906"/>
      <c r="P33" s="906"/>
      <c r="Q33" s="906"/>
      <c r="R33" s="906"/>
      <c r="T33" s="2415" t="s">
        <v>777</v>
      </c>
      <c r="U33" s="918" t="s">
        <v>769</v>
      </c>
      <c r="V33" s="919">
        <f t="shared" ref="V33:AF34" si="23">ROUNDDOWN(V7,-6)/1000000</f>
        <v>53150</v>
      </c>
      <c r="W33" s="919">
        <f t="shared" si="23"/>
        <v>53311</v>
      </c>
      <c r="X33" s="919">
        <f t="shared" si="23"/>
        <v>60025</v>
      </c>
      <c r="Y33" s="919">
        <f t="shared" si="23"/>
        <v>65141</v>
      </c>
      <c r="Z33" s="919">
        <f t="shared" si="23"/>
        <v>63772</v>
      </c>
      <c r="AA33" s="919">
        <f t="shared" si="23"/>
        <v>61429</v>
      </c>
      <c r="AB33" s="919">
        <f t="shared" si="23"/>
        <v>65185</v>
      </c>
      <c r="AC33" s="919">
        <f t="shared" si="23"/>
        <v>69594</v>
      </c>
      <c r="AD33" s="919">
        <f t="shared" si="23"/>
        <v>75374</v>
      </c>
      <c r="AE33" s="919">
        <f t="shared" si="23"/>
        <v>82142</v>
      </c>
      <c r="AF33" s="921">
        <f t="shared" si="23"/>
        <v>90024</v>
      </c>
      <c r="AG33" s="922"/>
      <c r="AH33" s="922"/>
    </row>
    <row r="34" spans="1:34" ht="14.25" customHeight="1">
      <c r="A34" s="906"/>
      <c r="B34" s="906"/>
      <c r="C34" s="907"/>
      <c r="D34" s="907"/>
      <c r="E34" s="906"/>
      <c r="F34" s="906"/>
      <c r="G34" s="906"/>
      <c r="H34" s="906"/>
      <c r="I34" s="906"/>
      <c r="J34" s="906"/>
      <c r="K34" s="906"/>
      <c r="L34" s="906"/>
      <c r="M34" s="906"/>
      <c r="N34" s="906"/>
      <c r="O34" s="906"/>
      <c r="P34" s="906"/>
      <c r="Q34" s="906"/>
      <c r="R34" s="906"/>
      <c r="T34" s="2416"/>
      <c r="U34" s="925" t="s">
        <v>770</v>
      </c>
      <c r="V34" s="926">
        <f t="shared" si="23"/>
        <v>33560</v>
      </c>
      <c r="W34" s="926">
        <f t="shared" si="23"/>
        <v>31869</v>
      </c>
      <c r="X34" s="926">
        <f t="shared" si="23"/>
        <v>35131</v>
      </c>
      <c r="Y34" s="926">
        <f t="shared" si="23"/>
        <v>36323</v>
      </c>
      <c r="Z34" s="926">
        <f t="shared" si="23"/>
        <v>35436</v>
      </c>
      <c r="AA34" s="926">
        <f t="shared" si="23"/>
        <v>35463</v>
      </c>
      <c r="AB34" s="926">
        <f t="shared" si="23"/>
        <v>40217</v>
      </c>
      <c r="AC34" s="926">
        <f t="shared" si="23"/>
        <v>42267</v>
      </c>
      <c r="AD34" s="926">
        <f t="shared" si="23"/>
        <v>47414</v>
      </c>
      <c r="AE34" s="926">
        <f t="shared" si="23"/>
        <v>53274</v>
      </c>
      <c r="AF34" s="928">
        <f t="shared" si="23"/>
        <v>58584</v>
      </c>
      <c r="AG34" s="929"/>
      <c r="AH34" s="929"/>
    </row>
    <row r="35" spans="1:34" ht="49.5">
      <c r="A35" s="906"/>
      <c r="B35" s="906"/>
      <c r="C35" s="907"/>
      <c r="D35" s="907"/>
      <c r="E35" s="906"/>
      <c r="F35" s="906"/>
      <c r="G35" s="906"/>
      <c r="H35" s="906"/>
      <c r="I35" s="906"/>
      <c r="J35" s="906"/>
      <c r="K35" s="906"/>
      <c r="L35" s="906"/>
      <c r="M35" s="906"/>
      <c r="N35" s="906"/>
      <c r="O35" s="906"/>
      <c r="P35" s="906"/>
      <c r="Q35" s="906"/>
      <c r="R35" s="906"/>
      <c r="T35" s="2417"/>
      <c r="U35" s="983" t="s">
        <v>778</v>
      </c>
      <c r="V35" s="931">
        <f t="shared" ref="V35:AF35" si="24">V34/V33*100</f>
        <v>63.142050799623703</v>
      </c>
      <c r="W35" s="931">
        <f t="shared" si="24"/>
        <v>59.77940762694378</v>
      </c>
      <c r="X35" s="931">
        <f t="shared" si="24"/>
        <v>58.527280299875052</v>
      </c>
      <c r="Y35" s="931">
        <f t="shared" si="24"/>
        <v>55.760580893753556</v>
      </c>
      <c r="Z35" s="931">
        <f t="shared" si="24"/>
        <v>55.566706391519794</v>
      </c>
      <c r="AA35" s="931">
        <f t="shared" si="24"/>
        <v>57.730062348402221</v>
      </c>
      <c r="AB35" s="931">
        <f t="shared" si="24"/>
        <v>61.6967093656516</v>
      </c>
      <c r="AC35" s="931">
        <f t="shared" si="24"/>
        <v>60.733683938270545</v>
      </c>
      <c r="AD35" s="931">
        <f t="shared" si="24"/>
        <v>62.904980497253696</v>
      </c>
      <c r="AE35" s="931">
        <f t="shared" si="24"/>
        <v>64.855981105889811</v>
      </c>
      <c r="AF35" s="934">
        <f t="shared" si="24"/>
        <v>65.075979738736336</v>
      </c>
      <c r="AG35" s="935"/>
      <c r="AH35" s="935"/>
    </row>
    <row r="36" spans="1:34" ht="19.5">
      <c r="A36" s="906"/>
      <c r="B36" s="906"/>
      <c r="C36" s="907"/>
      <c r="D36" s="907"/>
      <c r="E36" s="906"/>
      <c r="F36" s="906"/>
      <c r="G36" s="906"/>
      <c r="H36" s="906"/>
      <c r="I36" s="906"/>
      <c r="J36" s="906"/>
      <c r="K36" s="906"/>
      <c r="L36" s="906"/>
      <c r="M36" s="906"/>
      <c r="N36" s="906"/>
      <c r="O36" s="906"/>
      <c r="P36" s="906"/>
      <c r="Q36" s="906"/>
      <c r="R36" s="906"/>
      <c r="T36" s="2415" t="s">
        <v>779</v>
      </c>
      <c r="U36" s="918" t="s">
        <v>769</v>
      </c>
      <c r="V36" s="937">
        <f t="shared" ref="V36:X37" si="25">IF(V10="-","-",ROUNDDOWN(V10,-6)/1000000)</f>
        <v>10097</v>
      </c>
      <c r="W36" s="937">
        <f t="shared" si="25"/>
        <v>9373</v>
      </c>
      <c r="X36" s="937">
        <f t="shared" si="25"/>
        <v>9827</v>
      </c>
      <c r="Y36" s="938">
        <f t="shared" ref="Y36:AF37" si="26">ROUNDDOWN(Y10,-6)/1000000</f>
        <v>9701</v>
      </c>
      <c r="Z36" s="938">
        <f t="shared" si="26"/>
        <v>9099</v>
      </c>
      <c r="AA36" s="938">
        <f t="shared" si="26"/>
        <v>8646</v>
      </c>
      <c r="AB36" s="938">
        <f t="shared" si="26"/>
        <v>9300</v>
      </c>
      <c r="AC36" s="938">
        <f t="shared" si="26"/>
        <v>10391</v>
      </c>
      <c r="AD36" s="938">
        <f t="shared" si="26"/>
        <v>11431</v>
      </c>
      <c r="AE36" s="938">
        <f>ROUNDDOWN(AE10,-6)/1000000</f>
        <v>12651</v>
      </c>
      <c r="AF36" s="940">
        <f t="shared" si="26"/>
        <v>12470</v>
      </c>
      <c r="AG36" s="922"/>
      <c r="AH36" s="922"/>
    </row>
    <row r="37" spans="1:34" ht="14.25" customHeight="1">
      <c r="A37" s="906"/>
      <c r="B37" s="906"/>
      <c r="C37" s="907"/>
      <c r="D37" s="907"/>
      <c r="E37" s="906"/>
      <c r="F37" s="906"/>
      <c r="G37" s="906"/>
      <c r="H37" s="906"/>
      <c r="I37" s="906"/>
      <c r="J37" s="906"/>
      <c r="K37" s="906"/>
      <c r="L37" s="906"/>
      <c r="M37" s="906"/>
      <c r="N37" s="906"/>
      <c r="O37" s="906"/>
      <c r="P37" s="906"/>
      <c r="Q37" s="906"/>
      <c r="R37" s="906"/>
      <c r="T37" s="2416"/>
      <c r="U37" s="925" t="s">
        <v>770</v>
      </c>
      <c r="V37" s="941">
        <f t="shared" si="25"/>
        <v>485</v>
      </c>
      <c r="W37" s="941">
        <f t="shared" si="25"/>
        <v>202</v>
      </c>
      <c r="X37" s="941">
        <f t="shared" si="25"/>
        <v>171</v>
      </c>
      <c r="Y37" s="942">
        <f t="shared" si="26"/>
        <v>116</v>
      </c>
      <c r="Z37" s="942">
        <f t="shared" si="26"/>
        <v>103</v>
      </c>
      <c r="AA37" s="942">
        <f t="shared" si="26"/>
        <v>271</v>
      </c>
      <c r="AB37" s="942">
        <f t="shared" si="26"/>
        <v>136</v>
      </c>
      <c r="AC37" s="942">
        <f t="shared" si="26"/>
        <v>130</v>
      </c>
      <c r="AD37" s="942">
        <f t="shared" si="26"/>
        <v>331</v>
      </c>
      <c r="AE37" s="942">
        <f t="shared" si="26"/>
        <v>276</v>
      </c>
      <c r="AF37" s="944">
        <f t="shared" si="26"/>
        <v>380</v>
      </c>
      <c r="AG37" s="929"/>
      <c r="AH37" s="929"/>
    </row>
    <row r="38" spans="1:34" ht="19.5">
      <c r="A38" s="906"/>
      <c r="B38" s="906"/>
      <c r="C38" s="907"/>
      <c r="D38" s="907"/>
      <c r="E38" s="906"/>
      <c r="F38" s="906"/>
      <c r="G38" s="906"/>
      <c r="H38" s="906"/>
      <c r="I38" s="906"/>
      <c r="J38" s="906"/>
      <c r="K38" s="906"/>
      <c r="L38" s="906"/>
      <c r="M38" s="906"/>
      <c r="N38" s="906"/>
      <c r="O38" s="906"/>
      <c r="P38" s="906"/>
      <c r="Q38" s="906"/>
      <c r="R38" s="906"/>
      <c r="T38" s="2417"/>
      <c r="U38" s="930" t="s">
        <v>780</v>
      </c>
      <c r="V38" s="945">
        <f>IF(V36="-","-",V37/V36*100)</f>
        <v>4.8034069525601666</v>
      </c>
      <c r="W38" s="945">
        <f t="shared" ref="W38:AF38" si="27">IF(W36="-","-",W37/W36*100)</f>
        <v>2.155126426971087</v>
      </c>
      <c r="X38" s="945">
        <f t="shared" si="27"/>
        <v>1.7401037956650045</v>
      </c>
      <c r="Y38" s="945">
        <f t="shared" si="27"/>
        <v>1.1957530151530771</v>
      </c>
      <c r="Z38" s="945">
        <f t="shared" si="27"/>
        <v>1.1319925266512803</v>
      </c>
      <c r="AA38" s="945">
        <f t="shared" si="27"/>
        <v>3.1343974092065694</v>
      </c>
      <c r="AB38" s="945">
        <f t="shared" si="27"/>
        <v>1.4623655913978495</v>
      </c>
      <c r="AC38" s="945">
        <f t="shared" si="27"/>
        <v>1.2510826676931961</v>
      </c>
      <c r="AD38" s="945">
        <f t="shared" si="27"/>
        <v>2.8956346776310036</v>
      </c>
      <c r="AE38" s="945">
        <f t="shared" si="27"/>
        <v>2.1816457197059522</v>
      </c>
      <c r="AF38" s="984">
        <f t="shared" si="27"/>
        <v>3.0473135525260626</v>
      </c>
      <c r="AG38" s="935"/>
      <c r="AH38" s="935"/>
    </row>
    <row r="39" spans="1:34" ht="19.5">
      <c r="A39" s="906"/>
      <c r="B39" s="906"/>
      <c r="C39" s="907"/>
      <c r="D39" s="907"/>
      <c r="E39" s="906"/>
      <c r="F39" s="906"/>
      <c r="G39" s="906"/>
      <c r="H39" s="906"/>
      <c r="I39" s="906"/>
      <c r="J39" s="906"/>
      <c r="K39" s="906"/>
      <c r="L39" s="906"/>
      <c r="M39" s="906"/>
      <c r="N39" s="906"/>
      <c r="O39" s="906"/>
      <c r="P39" s="906"/>
      <c r="Q39" s="906"/>
      <c r="R39" s="906"/>
      <c r="T39" s="2418" t="s">
        <v>1146</v>
      </c>
      <c r="U39" s="918" t="s">
        <v>769</v>
      </c>
      <c r="V39" s="937">
        <f t="shared" ref="V39:AF40" si="28">IF(V13="-","-",ROUNDDOWN(V13,-6)/1000000)</f>
        <v>4670</v>
      </c>
      <c r="W39" s="937">
        <f t="shared" si="28"/>
        <v>4512</v>
      </c>
      <c r="X39" s="937">
        <f t="shared" si="28"/>
        <v>5243</v>
      </c>
      <c r="Y39" s="937">
        <f t="shared" si="28"/>
        <v>4913</v>
      </c>
      <c r="Z39" s="937">
        <f t="shared" si="28"/>
        <v>5163</v>
      </c>
      <c r="AA39" s="937">
        <f t="shared" si="28"/>
        <v>4831</v>
      </c>
      <c r="AB39" s="937">
        <f t="shared" si="28"/>
        <v>7241</v>
      </c>
      <c r="AC39" s="937">
        <f t="shared" si="28"/>
        <v>8985</v>
      </c>
      <c r="AD39" s="937">
        <f t="shared" si="28"/>
        <v>10529</v>
      </c>
      <c r="AE39" s="937">
        <f t="shared" si="28"/>
        <v>8410</v>
      </c>
      <c r="AF39" s="985">
        <f t="shared" si="28"/>
        <v>10296</v>
      </c>
      <c r="AG39" s="922"/>
      <c r="AH39" s="922"/>
    </row>
    <row r="40" spans="1:34" ht="19.5">
      <c r="A40" s="906"/>
      <c r="B40" s="906"/>
      <c r="C40" s="907"/>
      <c r="D40" s="907"/>
      <c r="E40" s="906"/>
      <c r="F40" s="906"/>
      <c r="G40" s="906"/>
      <c r="H40" s="906"/>
      <c r="I40" s="906"/>
      <c r="J40" s="906"/>
      <c r="K40" s="906"/>
      <c r="L40" s="906"/>
      <c r="M40" s="906"/>
      <c r="N40" s="906"/>
      <c r="O40" s="906"/>
      <c r="P40" s="906"/>
      <c r="Q40" s="906"/>
      <c r="R40" s="906"/>
      <c r="T40" s="2416"/>
      <c r="U40" s="925" t="s">
        <v>770</v>
      </c>
      <c r="V40" s="941">
        <f t="shared" si="28"/>
        <v>171</v>
      </c>
      <c r="W40" s="941">
        <f t="shared" si="28"/>
        <v>114</v>
      </c>
      <c r="X40" s="941">
        <f t="shared" si="28"/>
        <v>604</v>
      </c>
      <c r="Y40" s="941">
        <f t="shared" si="28"/>
        <v>481</v>
      </c>
      <c r="Z40" s="941">
        <f t="shared" si="28"/>
        <v>309</v>
      </c>
      <c r="AA40" s="941">
        <f t="shared" si="28"/>
        <v>376</v>
      </c>
      <c r="AB40" s="941">
        <f t="shared" si="28"/>
        <v>1142</v>
      </c>
      <c r="AC40" s="941">
        <f t="shared" si="28"/>
        <v>1333</v>
      </c>
      <c r="AD40" s="941">
        <f t="shared" si="28"/>
        <v>1164</v>
      </c>
      <c r="AE40" s="941">
        <f t="shared" si="28"/>
        <v>542</v>
      </c>
      <c r="AF40" s="986">
        <f t="shared" si="28"/>
        <v>673</v>
      </c>
      <c r="AG40" s="929"/>
      <c r="AH40" s="929"/>
    </row>
    <row r="41" spans="1:34" ht="20.25" thickBot="1">
      <c r="A41" s="906"/>
      <c r="B41" s="906"/>
      <c r="C41" s="907"/>
      <c r="D41" s="907"/>
      <c r="E41" s="906"/>
      <c r="F41" s="906"/>
      <c r="G41" s="906"/>
      <c r="H41" s="906"/>
      <c r="I41" s="906"/>
      <c r="J41" s="906"/>
      <c r="K41" s="906"/>
      <c r="L41" s="906"/>
      <c r="M41" s="906"/>
      <c r="N41" s="906"/>
      <c r="O41" s="906"/>
      <c r="P41" s="906"/>
      <c r="Q41" s="906"/>
      <c r="R41" s="906"/>
      <c r="T41" s="2417"/>
      <c r="U41" s="930" t="s">
        <v>780</v>
      </c>
      <c r="V41" s="945">
        <f>IF(V39="-","-",V40/V39*100)</f>
        <v>3.6616702355460387</v>
      </c>
      <c r="W41" s="945">
        <f t="shared" ref="W41:AF41" si="29">IF(W39="-","-",W40/W39*100)</f>
        <v>2.5265957446808507</v>
      </c>
      <c r="X41" s="945">
        <f t="shared" si="29"/>
        <v>11.520122067518596</v>
      </c>
      <c r="Y41" s="945">
        <f t="shared" si="29"/>
        <v>9.7903521270099745</v>
      </c>
      <c r="Z41" s="945">
        <f t="shared" si="29"/>
        <v>5.9848925043579309</v>
      </c>
      <c r="AA41" s="945">
        <f t="shared" si="29"/>
        <v>7.7830676878493072</v>
      </c>
      <c r="AB41" s="945">
        <f t="shared" si="29"/>
        <v>15.771302306311282</v>
      </c>
      <c r="AC41" s="945">
        <f t="shared" si="29"/>
        <v>14.835837506956038</v>
      </c>
      <c r="AD41" s="945">
        <f t="shared" si="29"/>
        <v>11.055180928863139</v>
      </c>
      <c r="AE41" s="945">
        <f t="shared" si="29"/>
        <v>6.4447086801426874</v>
      </c>
      <c r="AF41" s="987">
        <f t="shared" si="29"/>
        <v>6.5365190365190369</v>
      </c>
      <c r="AG41" s="960"/>
      <c r="AH41" s="960"/>
    </row>
    <row r="42" spans="1:34">
      <c r="A42" s="906"/>
      <c r="B42" s="906"/>
      <c r="C42" s="907"/>
      <c r="D42" s="907"/>
      <c r="E42" s="906"/>
      <c r="F42" s="906"/>
      <c r="G42" s="906"/>
      <c r="H42" s="906"/>
      <c r="I42" s="906"/>
      <c r="J42" s="906"/>
      <c r="K42" s="906"/>
      <c r="L42" s="906"/>
      <c r="M42" s="906"/>
      <c r="N42" s="906"/>
      <c r="O42" s="906"/>
      <c r="P42" s="906"/>
      <c r="Q42" s="906"/>
      <c r="R42" s="906"/>
    </row>
    <row r="43" spans="1:34" ht="9.75" customHeight="1">
      <c r="A43" s="906"/>
      <c r="B43" s="906"/>
      <c r="C43" s="907"/>
      <c r="D43" s="907"/>
      <c r="E43" s="906"/>
      <c r="F43" s="906"/>
      <c r="G43" s="906"/>
      <c r="H43" s="906"/>
      <c r="I43" s="906"/>
      <c r="J43" s="906"/>
      <c r="K43" s="906"/>
      <c r="L43" s="906"/>
      <c r="M43" s="906"/>
      <c r="N43" s="906"/>
      <c r="O43" s="906"/>
      <c r="P43" s="906"/>
      <c r="Q43" s="906"/>
      <c r="R43" s="906"/>
      <c r="T43" s="988" t="s">
        <v>781</v>
      </c>
    </row>
    <row r="44" spans="1:34" ht="18.75">
      <c r="A44" s="906"/>
      <c r="B44" s="906"/>
      <c r="C44" s="907"/>
      <c r="D44" s="907"/>
      <c r="E44" s="906"/>
      <c r="F44" s="906"/>
      <c r="G44" s="906"/>
      <c r="H44" s="906"/>
      <c r="I44" s="906"/>
      <c r="J44" s="906"/>
      <c r="K44" s="906"/>
      <c r="L44" s="906"/>
      <c r="M44" s="906"/>
      <c r="N44" s="906"/>
      <c r="O44" s="906"/>
      <c r="P44" s="906"/>
      <c r="Q44" s="906"/>
      <c r="R44" s="906"/>
      <c r="T44" s="988" t="s">
        <v>782</v>
      </c>
    </row>
    <row r="45" spans="1:34" ht="18.75">
      <c r="A45" s="906"/>
      <c r="B45" s="906"/>
      <c r="C45" s="907"/>
      <c r="D45" s="907"/>
      <c r="E45" s="906"/>
      <c r="F45" s="906"/>
      <c r="G45" s="906"/>
      <c r="H45" s="906"/>
      <c r="I45" s="906"/>
      <c r="J45" s="906"/>
      <c r="K45" s="906"/>
      <c r="L45" s="906"/>
      <c r="M45" s="906"/>
      <c r="N45" s="906"/>
      <c r="O45" s="906"/>
      <c r="P45" s="906"/>
      <c r="Q45" s="906"/>
      <c r="R45" s="906"/>
      <c r="T45" s="988" t="s">
        <v>783</v>
      </c>
    </row>
    <row r="46" spans="1:34" ht="10.5" customHeight="1">
      <c r="A46" s="906"/>
      <c r="B46" s="906"/>
      <c r="C46" s="907"/>
      <c r="D46" s="907"/>
      <c r="E46" s="906"/>
      <c r="F46" s="906"/>
      <c r="G46" s="906"/>
      <c r="H46" s="906"/>
      <c r="I46" s="906"/>
      <c r="J46" s="906"/>
      <c r="K46" s="906"/>
      <c r="L46" s="906"/>
      <c r="M46" s="906"/>
      <c r="N46" s="906"/>
      <c r="O46" s="906"/>
      <c r="P46" s="906"/>
      <c r="Q46" s="906"/>
      <c r="R46" s="906"/>
    </row>
    <row r="47" spans="1:34" ht="18.75">
      <c r="T47" s="988" t="s">
        <v>784</v>
      </c>
      <c r="W47" s="2127" t="s">
        <v>1629</v>
      </c>
    </row>
    <row r="49" spans="20:20" ht="14.25">
      <c r="T49" s="988"/>
    </row>
    <row r="50" spans="20:20" ht="14.25">
      <c r="T50" s="1984" t="s">
        <v>1375</v>
      </c>
    </row>
    <row r="51" spans="20:20" ht="14.25">
      <c r="T51" s="1081" t="s">
        <v>785</v>
      </c>
    </row>
    <row r="52" spans="20:20">
      <c r="T52" s="1081" t="s">
        <v>639</v>
      </c>
    </row>
    <row r="56" spans="20:20">
      <c r="T56" s="1709"/>
    </row>
  </sheetData>
  <sheetProtection algorithmName="SHA-512" hashValue="pn76wgaMA1zUe7x3+8X2Po3QFOlylzGOq1OLmWtQDlhZvV8ZSyJLTkj86RN7BBHqRLDJ8z2tYFZJ0YnEz4zMkQ==" saltValue="WPpR8giqnlMKDm9OPsC2GQ==" spinCount="100000" sheet="1" objects="1" scenarios="1"/>
  <customSheetViews>
    <customSheetView guid="{06451E13-97D0-44F4-875B-E8D80B2F1CF1}" scale="70" showPageBreaks="1" fitToPage="1" printArea="1" view="pageBreakPreview" topLeftCell="A16">
      <selection activeCell="T25" sqref="T25:T27"/>
      <pageMargins left="0" right="0" top="0" bottom="0" header="0" footer="0"/>
      <printOptions horizontalCentered="1" verticalCentered="1"/>
      <pageSetup paperSize="9" scale="70" orientation="landscape" r:id="rId1"/>
      <headerFooter scaleWithDoc="0" alignWithMargins="0">
        <oddFooter>&amp;C&amp;"Arial,標準"&amp;12 11</oddFooter>
      </headerFooter>
    </customSheetView>
  </customSheetViews>
  <mergeCells count="57">
    <mergeCell ref="I5:I6"/>
    <mergeCell ref="B5:D6"/>
    <mergeCell ref="E5:E6"/>
    <mergeCell ref="F5:F6"/>
    <mergeCell ref="G5:G6"/>
    <mergeCell ref="H5:H6"/>
    <mergeCell ref="AA5:AA6"/>
    <mergeCell ref="J5:J6"/>
    <mergeCell ref="K5:K6"/>
    <mergeCell ref="L5:L6"/>
    <mergeCell ref="M5:M6"/>
    <mergeCell ref="N5:N6"/>
    <mergeCell ref="O5:O6"/>
    <mergeCell ref="V5:V6"/>
    <mergeCell ref="W5:W6"/>
    <mergeCell ref="X5:X6"/>
    <mergeCell ref="Y5:Y6"/>
    <mergeCell ref="Z5:Z6"/>
    <mergeCell ref="B7:B9"/>
    <mergeCell ref="C7:D7"/>
    <mergeCell ref="T7:T9"/>
    <mergeCell ref="C8:D8"/>
    <mergeCell ref="C9:D9"/>
    <mergeCell ref="AB5:AB6"/>
    <mergeCell ref="AC5:AC6"/>
    <mergeCell ref="AD5:AD6"/>
    <mergeCell ref="AE5:AE6"/>
    <mergeCell ref="AF5:AF6"/>
    <mergeCell ref="B13:B15"/>
    <mergeCell ref="C13:D13"/>
    <mergeCell ref="T13:T15"/>
    <mergeCell ref="C14:D14"/>
    <mergeCell ref="C15:D15"/>
    <mergeCell ref="B10:B12"/>
    <mergeCell ref="C10:D10"/>
    <mergeCell ref="T10:T12"/>
    <mergeCell ref="C11:D11"/>
    <mergeCell ref="C12:D12"/>
    <mergeCell ref="B19:B21"/>
    <mergeCell ref="C19:D19"/>
    <mergeCell ref="T19:T21"/>
    <mergeCell ref="C20:D20"/>
    <mergeCell ref="C21:D21"/>
    <mergeCell ref="B16:B18"/>
    <mergeCell ref="C16:D16"/>
    <mergeCell ref="T16:T18"/>
    <mergeCell ref="C17:D17"/>
    <mergeCell ref="C18:D18"/>
    <mergeCell ref="T33:T35"/>
    <mergeCell ref="T36:T38"/>
    <mergeCell ref="T39:T41"/>
    <mergeCell ref="B22:B24"/>
    <mergeCell ref="C22:D22"/>
    <mergeCell ref="T22:T24"/>
    <mergeCell ref="C23:D23"/>
    <mergeCell ref="C24:D24"/>
    <mergeCell ref="T25:T27"/>
  </mergeCells>
  <phoneticPr fontId="29"/>
  <hyperlinks>
    <hyperlink ref="W47" r:id="rId2"/>
  </hyperlinks>
  <printOptions horizontalCentered="1" verticalCentered="1"/>
  <pageMargins left="0" right="0" top="0" bottom="0" header="0" footer="0"/>
  <pageSetup paperSize="9" scale="72" orientation="landscape" r:id="rId3"/>
  <headerFooter scaleWithDoc="0" alignWithMargins="0">
    <oddFooter>&amp;C&amp;"Arial,標準"&amp;12 11</oddFooter>
  </headerFooter>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J48"/>
  <sheetViews>
    <sheetView view="pageBreakPreview" zoomScale="55" zoomScaleNormal="85" zoomScaleSheetLayoutView="55" workbookViewId="0">
      <selection activeCell="O40" sqref="O40"/>
    </sheetView>
  </sheetViews>
  <sheetFormatPr defaultColWidth="9.140625" defaultRowHeight="12.75"/>
  <cols>
    <col min="1" max="1" width="12.85546875" style="1133" customWidth="1"/>
    <col min="2" max="2" width="19.42578125" style="1133" customWidth="1"/>
    <col min="3" max="3" width="16.140625" style="1133" customWidth="1"/>
    <col min="4" max="14" width="11.85546875" style="1133" customWidth="1"/>
    <col min="15" max="16" width="11.85546875" style="1165" customWidth="1"/>
    <col min="17" max="17" width="15.42578125" style="1133" customWidth="1"/>
    <col min="18" max="18" width="6.140625" style="1133" hidden="1" customWidth="1"/>
    <col min="19" max="19" width="28.140625" style="1133" hidden="1" customWidth="1"/>
    <col min="20" max="30" width="14.85546875" style="1133" hidden="1" customWidth="1"/>
    <col min="31" max="31" width="10.140625" style="1133" hidden="1" customWidth="1"/>
    <col min="32" max="32" width="14" style="1133" hidden="1" customWidth="1"/>
    <col min="33" max="33" width="2" style="1133" hidden="1" customWidth="1"/>
    <col min="34" max="34" width="3.140625" style="1133" hidden="1" customWidth="1"/>
    <col min="35" max="35" width="17" style="1133" hidden="1" customWidth="1"/>
    <col min="36" max="36" width="15.140625" style="1133" hidden="1" customWidth="1"/>
    <col min="37" max="45" width="0" style="1133" hidden="1" customWidth="1"/>
    <col min="46" max="16384" width="9.140625" style="1133"/>
  </cols>
  <sheetData>
    <row r="1" spans="1:36" ht="61.5" customHeight="1">
      <c r="A1" s="1131"/>
      <c r="B1" s="1131"/>
      <c r="C1" s="1131"/>
      <c r="D1" s="1131"/>
      <c r="E1" s="1131"/>
      <c r="F1" s="1131"/>
      <c r="G1" s="1131"/>
      <c r="H1" s="1131"/>
      <c r="I1" s="1131"/>
      <c r="J1" s="1131"/>
      <c r="K1" s="1131"/>
      <c r="L1" s="1131"/>
      <c r="M1" s="1131"/>
      <c r="N1" s="1131"/>
      <c r="O1" s="1132"/>
      <c r="P1" s="1132"/>
      <c r="Q1" s="1131"/>
    </row>
    <row r="2" spans="1:36" ht="19.5" customHeight="1">
      <c r="A2" s="1131"/>
      <c r="B2" s="1134"/>
      <c r="C2" s="1134"/>
      <c r="D2" s="1131"/>
      <c r="E2" s="1131"/>
      <c r="F2" s="1131"/>
      <c r="G2" s="1131"/>
      <c r="H2" s="1131"/>
      <c r="I2" s="1131"/>
      <c r="J2" s="1131"/>
      <c r="K2" s="1131"/>
      <c r="L2" s="1131"/>
      <c r="M2" s="1131"/>
      <c r="N2" s="1131"/>
      <c r="O2" s="1132"/>
      <c r="P2" s="1132"/>
      <c r="Q2" s="1131"/>
    </row>
    <row r="3" spans="1:36" ht="31.5" customHeight="1">
      <c r="A3" s="1131"/>
      <c r="B3" s="1131"/>
      <c r="C3" s="1131"/>
      <c r="D3" s="1131"/>
      <c r="E3" s="1131"/>
      <c r="F3" s="1131"/>
      <c r="G3" s="1131"/>
      <c r="H3" s="1131"/>
      <c r="I3" s="1131"/>
      <c r="J3" s="1131"/>
      <c r="K3" s="1131"/>
      <c r="L3" s="1131"/>
      <c r="M3" s="1131"/>
      <c r="N3" s="1131"/>
      <c r="O3" s="1132"/>
      <c r="P3" s="1132"/>
      <c r="Q3" s="1131"/>
    </row>
    <row r="4" spans="1:36" ht="28.5" customHeight="1" thickBot="1">
      <c r="A4" s="1131"/>
      <c r="B4" s="1131"/>
      <c r="C4" s="1131"/>
      <c r="D4" s="1131"/>
      <c r="E4" s="1131"/>
      <c r="F4" s="1135"/>
      <c r="G4" s="1131"/>
      <c r="H4" s="1135"/>
      <c r="I4" s="1135"/>
      <c r="J4" s="1131"/>
      <c r="K4" s="1135"/>
      <c r="L4" s="1135"/>
      <c r="M4" s="1135"/>
      <c r="N4" s="1136"/>
      <c r="O4" s="1137"/>
      <c r="P4" s="1198" t="s">
        <v>1708</v>
      </c>
      <c r="Q4" s="1131"/>
      <c r="S4" s="1133" t="s">
        <v>793</v>
      </c>
      <c r="T4" s="1139"/>
      <c r="U4" s="1139"/>
      <c r="V4" s="1139"/>
      <c r="W4" s="1139"/>
      <c r="X4" s="1139"/>
      <c r="Y4" s="1139"/>
      <c r="Z4" s="1139"/>
      <c r="AA4" s="1139"/>
      <c r="AB4" s="1139"/>
      <c r="AD4" s="1139"/>
      <c r="AE4" s="1139"/>
      <c r="AF4" s="1139"/>
    </row>
    <row r="5" spans="1:36" s="1132" customFormat="1" ht="23.25" customHeight="1">
      <c r="B5" s="2476"/>
      <c r="C5" s="2476"/>
      <c r="D5" s="2453" t="str">
        <f>T5</f>
        <v>2016.3</v>
      </c>
      <c r="E5" s="2206" t="str">
        <f t="shared" ref="E5:N5" si="0">U5</f>
        <v>2017.3</v>
      </c>
      <c r="F5" s="2206" t="str">
        <f t="shared" si="0"/>
        <v>2018.3</v>
      </c>
      <c r="G5" s="2206" t="str">
        <f t="shared" si="0"/>
        <v>2019.3</v>
      </c>
      <c r="H5" s="2206" t="str">
        <f t="shared" si="0"/>
        <v>2020.3</v>
      </c>
      <c r="I5" s="2206" t="str">
        <f t="shared" si="0"/>
        <v>2021.3</v>
      </c>
      <c r="J5" s="2206" t="str">
        <f t="shared" si="0"/>
        <v>2022.3</v>
      </c>
      <c r="K5" s="2206" t="str">
        <f t="shared" si="0"/>
        <v>2023.3</v>
      </c>
      <c r="L5" s="2206" t="str">
        <f t="shared" si="0"/>
        <v>2024.3</v>
      </c>
      <c r="M5" s="2206" t="str">
        <f t="shared" si="0"/>
        <v>2025.3</v>
      </c>
      <c r="N5" s="2306" t="str">
        <f t="shared" si="0"/>
        <v>2026.3</v>
      </c>
      <c r="O5" s="912" t="s">
        <v>638</v>
      </c>
      <c r="P5" s="913" t="s">
        <v>558</v>
      </c>
      <c r="S5" s="2474"/>
      <c r="T5" s="2461" t="s">
        <v>1601</v>
      </c>
      <c r="U5" s="2461" t="s">
        <v>1602</v>
      </c>
      <c r="V5" s="2459" t="s">
        <v>1603</v>
      </c>
      <c r="W5" s="2471" t="s">
        <v>1604</v>
      </c>
      <c r="X5" s="2459" t="s">
        <v>1605</v>
      </c>
      <c r="Y5" s="2471" t="s">
        <v>1606</v>
      </c>
      <c r="Z5" s="2459" t="s">
        <v>1607</v>
      </c>
      <c r="AA5" s="2459" t="s">
        <v>1608</v>
      </c>
      <c r="AB5" s="2468" t="s">
        <v>1609</v>
      </c>
      <c r="AC5" s="2466" t="s">
        <v>1610</v>
      </c>
      <c r="AD5" s="2463" t="s">
        <v>1611</v>
      </c>
      <c r="AE5" s="1143" t="s">
        <v>703</v>
      </c>
      <c r="AF5" s="1143" t="s">
        <v>794</v>
      </c>
    </row>
    <row r="6" spans="1:36" s="1132" customFormat="1" ht="23.25" customHeight="1" thickBot="1">
      <c r="B6" s="2477"/>
      <c r="C6" s="2477"/>
      <c r="D6" s="2207"/>
      <c r="E6" s="2207"/>
      <c r="F6" s="2207"/>
      <c r="G6" s="2207"/>
      <c r="H6" s="2207"/>
      <c r="I6" s="2207"/>
      <c r="J6" s="2207"/>
      <c r="K6" s="2207"/>
      <c r="L6" s="2207"/>
      <c r="M6" s="2207"/>
      <c r="N6" s="2450"/>
      <c r="O6" s="1200" t="s">
        <v>511</v>
      </c>
      <c r="P6" s="1201" t="s">
        <v>509</v>
      </c>
      <c r="S6" s="2475"/>
      <c r="T6" s="2473"/>
      <c r="U6" s="2473"/>
      <c r="V6" s="2470"/>
      <c r="W6" s="2472"/>
      <c r="X6" s="2470"/>
      <c r="Y6" s="2472"/>
      <c r="Z6" s="2470"/>
      <c r="AA6" s="2470"/>
      <c r="AB6" s="2469"/>
      <c r="AC6" s="2467"/>
      <c r="AD6" s="2465"/>
      <c r="AE6" s="858" t="s">
        <v>373</v>
      </c>
      <c r="AF6" s="859" t="s">
        <v>14</v>
      </c>
      <c r="AI6" s="1132" t="s">
        <v>795</v>
      </c>
    </row>
    <row r="7" spans="1:36" ht="25.5" customHeight="1" thickTop="1">
      <c r="A7" s="1131"/>
      <c r="B7" s="1810" t="s">
        <v>1229</v>
      </c>
      <c r="C7" s="1146"/>
      <c r="D7" s="953">
        <f t="shared" ref="D7:N8" si="1">IF(OR(T7="-",T7=""),"-",ROUNDDOWN(T7,-6)/1000000)</f>
        <v>53150</v>
      </c>
      <c r="E7" s="953">
        <f t="shared" si="1"/>
        <v>53311</v>
      </c>
      <c r="F7" s="953">
        <f t="shared" si="1"/>
        <v>60025</v>
      </c>
      <c r="G7" s="953">
        <f t="shared" si="1"/>
        <v>65141</v>
      </c>
      <c r="H7" s="953">
        <f t="shared" si="1"/>
        <v>63772</v>
      </c>
      <c r="I7" s="953">
        <f t="shared" si="1"/>
        <v>61429</v>
      </c>
      <c r="J7" s="953">
        <f t="shared" si="1"/>
        <v>65185</v>
      </c>
      <c r="K7" s="953">
        <f t="shared" si="1"/>
        <v>69594</v>
      </c>
      <c r="L7" s="953">
        <f t="shared" si="1"/>
        <v>75374</v>
      </c>
      <c r="M7" s="953">
        <f t="shared" si="1"/>
        <v>82142</v>
      </c>
      <c r="N7" s="953">
        <f t="shared" si="1"/>
        <v>90024</v>
      </c>
      <c r="O7" s="924">
        <f t="shared" ref="O7:P9" si="2">AE7</f>
        <v>9.5954328640098332</v>
      </c>
      <c r="P7" s="643">
        <f t="shared" si="2"/>
        <v>5.410849455037603</v>
      </c>
      <c r="Q7" s="1131"/>
      <c r="S7" s="1148" t="s">
        <v>796</v>
      </c>
      <c r="T7" s="1149">
        <v>53150302686</v>
      </c>
      <c r="U7" s="1149">
        <v>53311454297</v>
      </c>
      <c r="V7" s="1149">
        <v>60025039949</v>
      </c>
      <c r="W7" s="1149">
        <v>65141200619</v>
      </c>
      <c r="X7" s="1149">
        <v>63772676464</v>
      </c>
      <c r="Y7" s="1149">
        <v>61429166184</v>
      </c>
      <c r="Z7" s="1149">
        <v>65185534218</v>
      </c>
      <c r="AA7" s="862">
        <v>69594482675</v>
      </c>
      <c r="AB7" s="862">
        <v>75374440300</v>
      </c>
      <c r="AC7" s="887">
        <v>82142216393</v>
      </c>
      <c r="AD7" s="1150">
        <v>90024117620</v>
      </c>
      <c r="AE7" s="1151">
        <f>IF(ISERROR((AD7/AC7-1)*100),"-",(AD7/AC7-1)*100)</f>
        <v>9.5954328640098332</v>
      </c>
      <c r="AF7" s="1151">
        <f>IF(ISERROR(((AD7/T7)^(1/10)-1)*100),"-",((AD7/T7)^(1/10)-1)*100)</f>
        <v>5.410849455037603</v>
      </c>
      <c r="AI7" s="1152">
        <f>'Ⅲ-1-(1)_ｾｸﾞﾒﾝﾄの状況'!AF7</f>
        <v>90024117620</v>
      </c>
      <c r="AJ7" s="1152" t="str">
        <f>IF($AD7=$AI7,"OK","NG")</f>
        <v>OK</v>
      </c>
    </row>
    <row r="8" spans="1:36" ht="25.5" customHeight="1">
      <c r="A8" s="1131"/>
      <c r="B8" s="1810" t="s">
        <v>1230</v>
      </c>
      <c r="C8" s="1146"/>
      <c r="D8" s="953">
        <f t="shared" si="1"/>
        <v>33560</v>
      </c>
      <c r="E8" s="953">
        <f t="shared" si="1"/>
        <v>31869</v>
      </c>
      <c r="F8" s="953">
        <f t="shared" si="1"/>
        <v>35131</v>
      </c>
      <c r="G8" s="953">
        <f t="shared" si="1"/>
        <v>36323</v>
      </c>
      <c r="H8" s="953">
        <f t="shared" si="1"/>
        <v>35436</v>
      </c>
      <c r="I8" s="953">
        <f t="shared" si="1"/>
        <v>35463</v>
      </c>
      <c r="J8" s="953">
        <f t="shared" si="1"/>
        <v>40217</v>
      </c>
      <c r="K8" s="953">
        <f t="shared" si="1"/>
        <v>42267</v>
      </c>
      <c r="L8" s="953">
        <f t="shared" si="1"/>
        <v>47414</v>
      </c>
      <c r="M8" s="953">
        <f t="shared" si="1"/>
        <v>53274</v>
      </c>
      <c r="N8" s="953">
        <f t="shared" si="1"/>
        <v>58584</v>
      </c>
      <c r="O8" s="924">
        <f t="shared" si="2"/>
        <v>9.9666855643828267</v>
      </c>
      <c r="P8" s="643">
        <f t="shared" si="2"/>
        <v>5.7293435138354498</v>
      </c>
      <c r="Q8" s="1131"/>
      <c r="S8" s="1153" t="s">
        <v>798</v>
      </c>
      <c r="T8" s="1149">
        <v>33560264264</v>
      </c>
      <c r="U8" s="1149">
        <v>31869970682</v>
      </c>
      <c r="V8" s="1149">
        <v>35131251503</v>
      </c>
      <c r="W8" s="1149">
        <v>36323740268</v>
      </c>
      <c r="X8" s="1149">
        <v>35436109126</v>
      </c>
      <c r="Y8" s="1149">
        <v>35463594927</v>
      </c>
      <c r="Z8" s="1149">
        <v>40217943091</v>
      </c>
      <c r="AA8" s="862">
        <v>42267980525</v>
      </c>
      <c r="AB8" s="862">
        <v>47414485326</v>
      </c>
      <c r="AC8" s="887">
        <v>53274525806</v>
      </c>
      <c r="AD8" s="1154">
        <v>58584230279</v>
      </c>
      <c r="AE8" s="1155">
        <f>IF(ISERROR((AD8/AC8-1)*100),"-",(AD8/AC8-1)*100)</f>
        <v>9.9666855643828267</v>
      </c>
      <c r="AF8" s="1155">
        <f>IF(ISERROR(((AD8/T8)^(1/10)-1)*100),"-",((AD8/T8)^(1/10)-1)*100)</f>
        <v>5.7293435138354498</v>
      </c>
      <c r="AI8" s="1152">
        <f>'Ⅲ-1-(1)_ｾｸﾞﾒﾝﾄの状況'!AF8</f>
        <v>58584230279</v>
      </c>
      <c r="AJ8" s="1152" t="str">
        <f t="shared" ref="AJ8:AJ9" si="3">IF($AD8=$AI8,"OK","NG")</f>
        <v>OK</v>
      </c>
    </row>
    <row r="9" spans="1:36" ht="25.5" customHeight="1" thickBot="1">
      <c r="A9" s="1131"/>
      <c r="B9" s="1811" t="s">
        <v>1231</v>
      </c>
      <c r="C9" s="1156"/>
      <c r="D9" s="1545">
        <f>IF(OR(T9="-",T9=""),"-",ROUND(T9,1))</f>
        <v>63.1</v>
      </c>
      <c r="E9" s="1545">
        <f>IF(OR(U9="-",U9=""),"-",ROUND(U9,1))</f>
        <v>59.8</v>
      </c>
      <c r="F9" s="1545">
        <f t="shared" ref="F9:N9" si="4">IF(OR(V9="-",V9=""),"-",ROUND(V9,1))</f>
        <v>58.5</v>
      </c>
      <c r="G9" s="1545">
        <f t="shared" si="4"/>
        <v>55.8</v>
      </c>
      <c r="H9" s="1545">
        <f t="shared" si="4"/>
        <v>55.6</v>
      </c>
      <c r="I9" s="1545">
        <f t="shared" si="4"/>
        <v>57.7</v>
      </c>
      <c r="J9" s="1545">
        <f t="shared" si="4"/>
        <v>61.7</v>
      </c>
      <c r="K9" s="1545">
        <f t="shared" si="4"/>
        <v>60.7</v>
      </c>
      <c r="L9" s="1545">
        <f t="shared" si="4"/>
        <v>62.9</v>
      </c>
      <c r="M9" s="1545">
        <f t="shared" si="4"/>
        <v>64.900000000000006</v>
      </c>
      <c r="N9" s="1545">
        <f t="shared" si="4"/>
        <v>65.099999999999994</v>
      </c>
      <c r="O9" s="1546" t="str">
        <f t="shared" si="2"/>
        <v>-</v>
      </c>
      <c r="P9" s="1546" t="str">
        <f t="shared" si="2"/>
        <v>-</v>
      </c>
      <c r="Q9" s="1131"/>
      <c r="S9" s="1157" t="s">
        <v>800</v>
      </c>
      <c r="T9" s="1158">
        <f t="shared" ref="T9:AD9" si="5">IF(OR(T7="-",T8="-"),"-",T8/T7*100)</f>
        <v>63.142188412860925</v>
      </c>
      <c r="U9" s="1158">
        <f t="shared" si="5"/>
        <v>59.780718988552181</v>
      </c>
      <c r="V9" s="1158">
        <f t="shared" si="5"/>
        <v>58.527660344498081</v>
      </c>
      <c r="W9" s="1158">
        <f t="shared" si="5"/>
        <v>55.761545569986481</v>
      </c>
      <c r="X9" s="1158">
        <f t="shared" si="5"/>
        <v>55.566288088918249</v>
      </c>
      <c r="Y9" s="1158">
        <f t="shared" si="5"/>
        <v>57.730874648005461</v>
      </c>
      <c r="Z9" s="1158">
        <f t="shared" si="5"/>
        <v>61.697650519360813</v>
      </c>
      <c r="AA9" s="1158">
        <f t="shared" si="5"/>
        <v>60.734671629628579</v>
      </c>
      <c r="AB9" s="1159">
        <f t="shared" si="5"/>
        <v>62.905256924342304</v>
      </c>
      <c r="AC9" s="1160">
        <f t="shared" si="5"/>
        <v>64.856450367876789</v>
      </c>
      <c r="AD9" s="1161">
        <f t="shared" si="5"/>
        <v>65.076150511454472</v>
      </c>
      <c r="AE9" s="1162" t="s">
        <v>324</v>
      </c>
      <c r="AF9" s="1162" t="s">
        <v>8</v>
      </c>
      <c r="AI9" s="1133">
        <f>'Ⅲ-1-(1)_ｾｸﾞﾒﾝﾄの状況'!AF9</f>
        <v>65.076150511454472</v>
      </c>
      <c r="AJ9" s="1152" t="str">
        <f t="shared" si="3"/>
        <v>OK</v>
      </c>
    </row>
    <row r="10" spans="1:36" ht="39" customHeight="1">
      <c r="A10" s="1131"/>
      <c r="B10" s="1132"/>
      <c r="C10" s="1132"/>
      <c r="D10" s="1163"/>
      <c r="E10" s="1163"/>
      <c r="F10" s="1163"/>
      <c r="G10" s="1163"/>
      <c r="H10" s="1163"/>
      <c r="I10" s="1163"/>
      <c r="J10" s="1163"/>
      <c r="K10" s="1163"/>
      <c r="L10" s="1163"/>
      <c r="M10" s="1163"/>
      <c r="N10" s="1163"/>
      <c r="O10" s="1164"/>
      <c r="P10" s="1164"/>
      <c r="Q10" s="1131"/>
      <c r="S10" s="1165"/>
      <c r="T10" s="1166"/>
      <c r="U10" s="1166"/>
      <c r="V10" s="1166"/>
      <c r="W10" s="1166"/>
      <c r="X10" s="1166"/>
      <c r="Y10" s="1166"/>
      <c r="Z10" s="1166"/>
      <c r="AA10" s="1166"/>
      <c r="AB10" s="1166"/>
      <c r="AC10" s="1166"/>
      <c r="AD10" s="1166"/>
      <c r="AE10" s="1167"/>
      <c r="AF10" s="1167"/>
    </row>
    <row r="11" spans="1:36" ht="16.5" customHeight="1" thickBot="1">
      <c r="A11" s="1131"/>
      <c r="B11" s="1132"/>
      <c r="C11" s="1132"/>
      <c r="D11" s="1163"/>
      <c r="E11" s="1163"/>
      <c r="F11" s="1163"/>
      <c r="G11" s="1163"/>
      <c r="H11" s="1163"/>
      <c r="I11" s="1163"/>
      <c r="J11" s="1163"/>
      <c r="K11" s="1163"/>
      <c r="L11" s="1163"/>
      <c r="M11" s="1163"/>
      <c r="N11" s="1163"/>
      <c r="O11" s="1164"/>
      <c r="P11" s="1138" t="s">
        <v>1709</v>
      </c>
      <c r="Q11" s="1131"/>
      <c r="S11" s="1133" t="s">
        <v>801</v>
      </c>
      <c r="T11" s="1139"/>
      <c r="U11" s="1139"/>
      <c r="V11" s="1139"/>
      <c r="W11" s="1139"/>
      <c r="X11" s="1139"/>
      <c r="Y11" s="1139"/>
      <c r="Z11" s="1139"/>
      <c r="AA11" s="1139"/>
      <c r="AB11" s="1139"/>
      <c r="AD11" s="1139"/>
      <c r="AE11" s="1139"/>
      <c r="AF11" s="1139"/>
    </row>
    <row r="12" spans="1:36" s="1132" customFormat="1" ht="23.25" customHeight="1">
      <c r="B12" s="2478"/>
      <c r="C12" s="2478"/>
      <c r="D12" s="2453" t="str">
        <f t="shared" ref="D12:N12" si="6">T25</f>
        <v>2016.3</v>
      </c>
      <c r="E12" s="2206" t="str">
        <f t="shared" si="6"/>
        <v>2017.3</v>
      </c>
      <c r="F12" s="2206" t="str">
        <f t="shared" si="6"/>
        <v>2018.3</v>
      </c>
      <c r="G12" s="2206" t="str">
        <f t="shared" si="6"/>
        <v>2019.3</v>
      </c>
      <c r="H12" s="2206" t="str">
        <f t="shared" si="6"/>
        <v>2020.3</v>
      </c>
      <c r="I12" s="2206" t="str">
        <f t="shared" si="6"/>
        <v>2021.3</v>
      </c>
      <c r="J12" s="2206" t="str">
        <f t="shared" si="6"/>
        <v>2022.3</v>
      </c>
      <c r="K12" s="2206" t="str">
        <f t="shared" si="6"/>
        <v>2023.3</v>
      </c>
      <c r="L12" s="2206" t="str">
        <f t="shared" si="6"/>
        <v>2024.3</v>
      </c>
      <c r="M12" s="2206" t="str">
        <f t="shared" si="6"/>
        <v>2025.3</v>
      </c>
      <c r="N12" s="2306" t="str">
        <f t="shared" si="6"/>
        <v>2026.3</v>
      </c>
      <c r="O12" s="912" t="s">
        <v>638</v>
      </c>
      <c r="P12" s="913" t="s">
        <v>558</v>
      </c>
      <c r="S12" s="2474"/>
      <c r="T12" s="2459" t="str">
        <f>T5</f>
        <v>2016.3</v>
      </c>
      <c r="U12" s="2459" t="str">
        <f>U5</f>
        <v>2017.3</v>
      </c>
      <c r="V12" s="2459" t="str">
        <f>V5</f>
        <v>2018.3</v>
      </c>
      <c r="W12" s="2459" t="str">
        <f t="shared" ref="W12:AD12" si="7">W5</f>
        <v>2019.3</v>
      </c>
      <c r="X12" s="2459" t="str">
        <f t="shared" si="7"/>
        <v>2020.3</v>
      </c>
      <c r="Y12" s="2459" t="str">
        <f t="shared" si="7"/>
        <v>2021.3</v>
      </c>
      <c r="Z12" s="2459" t="str">
        <f t="shared" si="7"/>
        <v>2022.3</v>
      </c>
      <c r="AA12" s="2459" t="str">
        <f t="shared" si="7"/>
        <v>2023.3</v>
      </c>
      <c r="AB12" s="2459" t="str">
        <f t="shared" si="7"/>
        <v>2024.3</v>
      </c>
      <c r="AC12" s="2461" t="str">
        <f t="shared" si="7"/>
        <v>2025.3</v>
      </c>
      <c r="AD12" s="2463" t="str">
        <f t="shared" si="7"/>
        <v>2026.3</v>
      </c>
      <c r="AE12" s="1168" t="s">
        <v>536</v>
      </c>
      <c r="AF12" s="1169" t="s">
        <v>802</v>
      </c>
      <c r="AG12" s="1133"/>
      <c r="AH12" s="1133"/>
    </row>
    <row r="13" spans="1:36" ht="23.25" customHeight="1" thickBot="1">
      <c r="A13" s="1131"/>
      <c r="B13" s="2479"/>
      <c r="C13" s="2479"/>
      <c r="D13" s="2207"/>
      <c r="E13" s="2207"/>
      <c r="F13" s="2207"/>
      <c r="G13" s="2207"/>
      <c r="H13" s="2207"/>
      <c r="I13" s="2207"/>
      <c r="J13" s="2207"/>
      <c r="K13" s="2207"/>
      <c r="L13" s="2207"/>
      <c r="M13" s="2207"/>
      <c r="N13" s="2450"/>
      <c r="O13" s="1200" t="s">
        <v>511</v>
      </c>
      <c r="P13" s="1201" t="s">
        <v>509</v>
      </c>
      <c r="Q13" s="1137"/>
      <c r="R13" s="1170"/>
      <c r="S13" s="2475"/>
      <c r="T13" s="2460"/>
      <c r="U13" s="2460"/>
      <c r="V13" s="2460"/>
      <c r="W13" s="2460"/>
      <c r="X13" s="2460"/>
      <c r="Y13" s="2460"/>
      <c r="Z13" s="2460"/>
      <c r="AA13" s="2460"/>
      <c r="AB13" s="2460"/>
      <c r="AC13" s="2462"/>
      <c r="AD13" s="2464"/>
      <c r="AE13" s="1171"/>
      <c r="AF13" s="1172"/>
    </row>
    <row r="14" spans="1:36" ht="25.5" customHeight="1" thickTop="1">
      <c r="A14" s="1131"/>
      <c r="B14" s="2454" t="s">
        <v>1232</v>
      </c>
      <c r="C14" s="2454"/>
      <c r="D14" s="1066">
        <f t="shared" ref="D14:N15" si="8">IF(OR(T27="-",T27=""),"-",T27)</f>
        <v>2394009</v>
      </c>
      <c r="E14" s="1066">
        <f t="shared" si="8"/>
        <v>2353536</v>
      </c>
      <c r="F14" s="1066">
        <f t="shared" si="8"/>
        <v>2700010</v>
      </c>
      <c r="G14" s="1066">
        <f t="shared" si="8"/>
        <v>2930127</v>
      </c>
      <c r="H14" s="1066">
        <f t="shared" si="8"/>
        <v>2924052</v>
      </c>
      <c r="I14" s="1066">
        <f t="shared" si="8"/>
        <v>2661084</v>
      </c>
      <c r="J14" s="1066">
        <f t="shared" si="8"/>
        <v>2731669</v>
      </c>
      <c r="K14" s="1066">
        <f t="shared" si="8"/>
        <v>2958598</v>
      </c>
      <c r="L14" s="1066">
        <f t="shared" si="8"/>
        <v>3084529</v>
      </c>
      <c r="M14" s="1066">
        <f t="shared" si="8"/>
        <v>3202002</v>
      </c>
      <c r="N14" s="1066">
        <f t="shared" si="8"/>
        <v>3504437</v>
      </c>
      <c r="O14" s="1125">
        <f t="shared" ref="O14:P16" si="9">AE27</f>
        <v>9.4451846063806411</v>
      </c>
      <c r="P14" s="1125">
        <f t="shared" si="9"/>
        <v>3.8841397557287882</v>
      </c>
      <c r="Q14" s="1173"/>
      <c r="R14" s="888"/>
      <c r="S14" s="1174" t="s">
        <v>803</v>
      </c>
      <c r="T14" s="1175"/>
      <c r="U14" s="1175"/>
      <c r="V14" s="1175"/>
      <c r="W14" s="1175"/>
      <c r="X14" s="1175"/>
      <c r="Y14" s="1176"/>
      <c r="Z14" s="1175"/>
      <c r="AA14" s="1175"/>
      <c r="AB14" s="1176"/>
      <c r="AC14" s="1177"/>
      <c r="AD14" s="1178"/>
      <c r="AE14" s="1179"/>
      <c r="AF14" s="1179"/>
    </row>
    <row r="15" spans="1:36" ht="25.5" customHeight="1">
      <c r="A15" s="1131"/>
      <c r="B15" s="2455" t="s">
        <v>1233</v>
      </c>
      <c r="C15" s="2456"/>
      <c r="D15" s="1066">
        <f t="shared" si="8"/>
        <v>1562399</v>
      </c>
      <c r="E15" s="1066">
        <f t="shared" si="8"/>
        <v>1508843</v>
      </c>
      <c r="F15" s="1066">
        <f t="shared" si="8"/>
        <v>1709998</v>
      </c>
      <c r="G15" s="1066">
        <f t="shared" si="8"/>
        <v>1825991</v>
      </c>
      <c r="H15" s="1066">
        <f t="shared" si="8"/>
        <v>1772443</v>
      </c>
      <c r="I15" s="1066">
        <f t="shared" si="8"/>
        <v>1680810</v>
      </c>
      <c r="J15" s="1066">
        <f t="shared" si="8"/>
        <v>1787302</v>
      </c>
      <c r="K15" s="1066">
        <f t="shared" si="8"/>
        <v>1863988</v>
      </c>
      <c r="L15" s="1066">
        <f t="shared" si="8"/>
        <v>1986643</v>
      </c>
      <c r="M15" s="1066">
        <f t="shared" si="8"/>
        <v>2145158</v>
      </c>
      <c r="N15" s="1066">
        <f t="shared" si="8"/>
        <v>2347566</v>
      </c>
      <c r="O15" s="1125">
        <f t="shared" si="9"/>
        <v>9.4355753748675006</v>
      </c>
      <c r="P15" s="1125">
        <f t="shared" si="9"/>
        <v>4.1555905991035091</v>
      </c>
      <c r="Q15" s="1173"/>
      <c r="R15" s="888"/>
      <c r="S15" s="1180" t="s">
        <v>804</v>
      </c>
      <c r="T15" s="1181">
        <f>IF(T7="-","-",ROUNDDOWN(T7,-6))</f>
        <v>53150000000</v>
      </c>
      <c r="U15" s="1181">
        <f>IF(U7="-","-",ROUNDDOWN(U7,-6))</f>
        <v>53311000000</v>
      </c>
      <c r="V15" s="1181">
        <f>IF(V7="-","-",ROUNDDOWN(V7,-6))</f>
        <v>60025000000</v>
      </c>
      <c r="W15" s="1182">
        <f>IF(W7="-","-",ROUNDDOWN(W7,-6))</f>
        <v>65141000000</v>
      </c>
      <c r="X15" s="1182">
        <f t="shared" ref="X15:AD15" si="10">IF(X7="-","-",ROUNDDOWN(X7,-6))</f>
        <v>63772000000</v>
      </c>
      <c r="Y15" s="1182">
        <f t="shared" si="10"/>
        <v>61429000000</v>
      </c>
      <c r="Z15" s="1182">
        <f t="shared" si="10"/>
        <v>65185000000</v>
      </c>
      <c r="AA15" s="1182">
        <f t="shared" si="10"/>
        <v>69594000000</v>
      </c>
      <c r="AB15" s="1182">
        <f t="shared" si="10"/>
        <v>75374000000</v>
      </c>
      <c r="AC15" s="1182">
        <f t="shared" si="10"/>
        <v>82142000000</v>
      </c>
      <c r="AD15" s="1183">
        <f t="shared" si="10"/>
        <v>90024000000</v>
      </c>
      <c r="AE15" s="1184"/>
      <c r="AF15" s="1184"/>
    </row>
    <row r="16" spans="1:36" ht="25.5" customHeight="1">
      <c r="A16" s="1131"/>
      <c r="B16" s="2457" t="s">
        <v>1234</v>
      </c>
      <c r="C16" s="2458"/>
      <c r="D16" s="1126">
        <f t="shared" ref="D16:N16" si="11">IF(OR(T29="-",T29=""),"-",ROUND(T29,1))</f>
        <v>65.3</v>
      </c>
      <c r="E16" s="1126">
        <f t="shared" si="11"/>
        <v>64.099999999999994</v>
      </c>
      <c r="F16" s="1126">
        <f t="shared" si="11"/>
        <v>63.3</v>
      </c>
      <c r="G16" s="1126">
        <f t="shared" si="11"/>
        <v>62.3</v>
      </c>
      <c r="H16" s="1126">
        <f t="shared" si="11"/>
        <v>60.6</v>
      </c>
      <c r="I16" s="1126">
        <f t="shared" si="11"/>
        <v>63.2</v>
      </c>
      <c r="J16" s="1126">
        <f t="shared" si="11"/>
        <v>65.400000000000006</v>
      </c>
      <c r="K16" s="1126">
        <f t="shared" si="11"/>
        <v>63</v>
      </c>
      <c r="L16" s="1126">
        <f t="shared" si="11"/>
        <v>64.400000000000006</v>
      </c>
      <c r="M16" s="1126">
        <f t="shared" si="11"/>
        <v>67</v>
      </c>
      <c r="N16" s="1126">
        <f t="shared" si="11"/>
        <v>67</v>
      </c>
      <c r="O16" s="1127" t="str">
        <f t="shared" si="9"/>
        <v>-</v>
      </c>
      <c r="P16" s="1127" t="str">
        <f>AF29</f>
        <v>-</v>
      </c>
      <c r="Q16" s="1131"/>
      <c r="S16" s="1185" t="s">
        <v>805</v>
      </c>
      <c r="T16" s="1186">
        <f t="shared" ref="T16:AD16" si="12">IF(T8="-","-",ROUNDDOWN(T8,-6))</f>
        <v>33560000000</v>
      </c>
      <c r="U16" s="1186">
        <f t="shared" si="12"/>
        <v>31869000000</v>
      </c>
      <c r="V16" s="1186">
        <f t="shared" si="12"/>
        <v>35131000000</v>
      </c>
      <c r="W16" s="1187">
        <f t="shared" si="12"/>
        <v>36323000000</v>
      </c>
      <c r="X16" s="1187">
        <f t="shared" si="12"/>
        <v>35436000000</v>
      </c>
      <c r="Y16" s="1187">
        <f t="shared" si="12"/>
        <v>35463000000</v>
      </c>
      <c r="Z16" s="1187">
        <f t="shared" si="12"/>
        <v>40217000000</v>
      </c>
      <c r="AA16" s="1187">
        <f t="shared" si="12"/>
        <v>42267000000</v>
      </c>
      <c r="AB16" s="1187">
        <f t="shared" si="12"/>
        <v>47414000000</v>
      </c>
      <c r="AC16" s="1187">
        <f t="shared" si="12"/>
        <v>53274000000</v>
      </c>
      <c r="AD16" s="1188">
        <f t="shared" si="12"/>
        <v>58584000000</v>
      </c>
      <c r="AE16" s="1189"/>
      <c r="AF16" s="1189"/>
    </row>
    <row r="17" spans="1:36" ht="16.5" customHeight="1" thickBot="1">
      <c r="A17" s="1131"/>
      <c r="B17" s="1132"/>
      <c r="C17" s="1132"/>
      <c r="D17" s="1163"/>
      <c r="E17" s="1163"/>
      <c r="F17" s="1163"/>
      <c r="G17" s="1163"/>
      <c r="H17" s="1163"/>
      <c r="I17" s="1163"/>
      <c r="J17" s="1163"/>
      <c r="K17" s="1163"/>
      <c r="L17" s="1163"/>
      <c r="M17" s="1163"/>
      <c r="N17" s="1163"/>
      <c r="O17" s="1164"/>
      <c r="P17" s="1164"/>
      <c r="Q17" s="1131"/>
      <c r="S17" s="1190" t="s">
        <v>806</v>
      </c>
      <c r="T17" s="1158">
        <f>IF(OR(T15="-",T16="-"),"-",T9)</f>
        <v>63.142188412860925</v>
      </c>
      <c r="U17" s="1158">
        <f t="shared" ref="U17:AD17" si="13">IF(OR(U15="-",U16="-"),"-",U9)</f>
        <v>59.780718988552181</v>
      </c>
      <c r="V17" s="1158">
        <f t="shared" si="13"/>
        <v>58.527660344498081</v>
      </c>
      <c r="W17" s="1158">
        <f t="shared" si="13"/>
        <v>55.761545569986481</v>
      </c>
      <c r="X17" s="1158">
        <f t="shared" si="13"/>
        <v>55.566288088918249</v>
      </c>
      <c r="Y17" s="1158">
        <f t="shared" si="13"/>
        <v>57.730874648005461</v>
      </c>
      <c r="Z17" s="1158">
        <f t="shared" si="13"/>
        <v>61.697650519360813</v>
      </c>
      <c r="AA17" s="1158">
        <f t="shared" si="13"/>
        <v>60.734671629628579</v>
      </c>
      <c r="AB17" s="1158">
        <f t="shared" si="13"/>
        <v>62.905256924342304</v>
      </c>
      <c r="AC17" s="1158">
        <f t="shared" si="13"/>
        <v>64.856450367876789</v>
      </c>
      <c r="AD17" s="1161">
        <f t="shared" si="13"/>
        <v>65.076150511454472</v>
      </c>
      <c r="AE17" s="1191"/>
      <c r="AF17" s="1191"/>
    </row>
    <row r="18" spans="1:36" ht="16.5" customHeight="1">
      <c r="A18" s="1131"/>
      <c r="B18" s="1132"/>
      <c r="C18" s="1132"/>
      <c r="D18" s="1163"/>
      <c r="E18" s="1163"/>
      <c r="F18" s="1163"/>
      <c r="G18" s="1163"/>
      <c r="H18" s="1163"/>
      <c r="I18" s="1163"/>
      <c r="J18" s="1163"/>
      <c r="K18" s="1163"/>
      <c r="L18" s="1163"/>
      <c r="M18" s="1163"/>
      <c r="N18" s="1163"/>
      <c r="O18" s="1164"/>
      <c r="P18" s="1164"/>
      <c r="Q18" s="1131"/>
    </row>
    <row r="19" spans="1:36" ht="16.5" customHeight="1">
      <c r="A19" s="1131"/>
      <c r="B19" s="1132"/>
      <c r="C19" s="1132"/>
      <c r="D19" s="1163"/>
      <c r="E19" s="1163"/>
      <c r="F19" s="1163"/>
      <c r="G19" s="1163"/>
      <c r="H19" s="1163"/>
      <c r="I19" s="1163"/>
      <c r="J19" s="1163"/>
      <c r="K19" s="1163"/>
      <c r="L19" s="1163"/>
      <c r="M19" s="1163"/>
      <c r="N19" s="1163"/>
      <c r="O19" s="1164"/>
      <c r="P19" s="1164"/>
      <c r="Q19" s="1131"/>
      <c r="S19" s="1133" t="s">
        <v>807</v>
      </c>
    </row>
    <row r="20" spans="1:36" ht="23.25" customHeight="1">
      <c r="A20" s="1131"/>
      <c r="B20" s="1132"/>
      <c r="C20" s="1132"/>
      <c r="D20" s="1163"/>
      <c r="E20" s="1163"/>
      <c r="F20" s="1163"/>
      <c r="G20" s="1163"/>
      <c r="H20" s="1163"/>
      <c r="I20" s="1163"/>
      <c r="J20" s="1163"/>
      <c r="K20" s="1163"/>
      <c r="L20" s="1163"/>
      <c r="M20" s="1163"/>
      <c r="N20" s="1163"/>
      <c r="O20" s="1164"/>
      <c r="P20" s="1164"/>
      <c r="Q20" s="1131"/>
    </row>
    <row r="21" spans="1:36" ht="15" customHeight="1">
      <c r="A21" s="1131"/>
      <c r="B21" s="1132"/>
      <c r="C21" s="1132"/>
      <c r="D21" s="1163"/>
      <c r="E21" s="1163"/>
      <c r="F21" s="1163"/>
      <c r="G21" s="1163"/>
      <c r="H21" s="1163"/>
      <c r="I21" s="1163"/>
      <c r="J21" s="1163"/>
      <c r="K21" s="1163"/>
      <c r="L21" s="1163"/>
      <c r="M21" s="1163"/>
      <c r="N21" s="1163"/>
      <c r="O21" s="1164"/>
      <c r="P21" s="1164"/>
      <c r="Q21" s="1131"/>
    </row>
    <row r="22" spans="1:36" ht="15" customHeight="1">
      <c r="A22" s="1131"/>
      <c r="B22" s="1131"/>
      <c r="C22" s="1131"/>
      <c r="D22" s="1131"/>
      <c r="E22" s="1131"/>
      <c r="F22" s="1135"/>
      <c r="G22" s="1131"/>
      <c r="H22" s="1135"/>
      <c r="I22" s="1135"/>
      <c r="J22" s="1131"/>
      <c r="K22" s="1135"/>
      <c r="L22" s="1135"/>
      <c r="M22" s="1135"/>
      <c r="N22" s="1136"/>
      <c r="O22" s="1137"/>
      <c r="P22" s="1138"/>
      <c r="Q22" s="1131"/>
    </row>
    <row r="23" spans="1:36" ht="24" customHeight="1">
      <c r="A23" s="1131"/>
      <c r="Q23" s="1131"/>
    </row>
    <row r="24" spans="1:36" ht="18.95" customHeight="1" thickBot="1">
      <c r="A24" s="1131"/>
      <c r="Q24" s="1131"/>
      <c r="S24" s="1133" t="s">
        <v>808</v>
      </c>
      <c r="T24" s="1139"/>
      <c r="U24" s="1139"/>
      <c r="V24" s="1139"/>
      <c r="W24" s="1139"/>
      <c r="X24" s="1139"/>
      <c r="Y24" s="1139"/>
      <c r="Z24" s="1139"/>
      <c r="AA24" s="1139"/>
      <c r="AB24" s="1139"/>
      <c r="AD24" s="1139"/>
      <c r="AE24" s="1139"/>
      <c r="AF24" s="1139"/>
    </row>
    <row r="25" spans="1:36" ht="24.95" customHeight="1">
      <c r="A25" s="1131"/>
      <c r="Q25" s="1131"/>
      <c r="S25" s="2474"/>
      <c r="T25" s="2459" t="str">
        <f t="shared" ref="T25:AC25" si="14">T5</f>
        <v>2016.3</v>
      </c>
      <c r="U25" s="2459" t="str">
        <f t="shared" si="14"/>
        <v>2017.3</v>
      </c>
      <c r="V25" s="2459" t="str">
        <f t="shared" si="14"/>
        <v>2018.3</v>
      </c>
      <c r="W25" s="2459" t="str">
        <f t="shared" si="14"/>
        <v>2019.3</v>
      </c>
      <c r="X25" s="2459" t="str">
        <f t="shared" si="14"/>
        <v>2020.3</v>
      </c>
      <c r="Y25" s="2459" t="str">
        <f t="shared" si="14"/>
        <v>2021.3</v>
      </c>
      <c r="Z25" s="2459" t="str">
        <f t="shared" si="14"/>
        <v>2022.3</v>
      </c>
      <c r="AA25" s="2459" t="str">
        <f t="shared" si="14"/>
        <v>2023.3</v>
      </c>
      <c r="AB25" s="2459" t="str">
        <f t="shared" si="14"/>
        <v>2024.3</v>
      </c>
      <c r="AC25" s="2461" t="str">
        <f t="shared" si="14"/>
        <v>2025.3</v>
      </c>
      <c r="AD25" s="2463" t="str">
        <f>AD5</f>
        <v>2026.3</v>
      </c>
      <c r="AE25" s="1168" t="s">
        <v>536</v>
      </c>
      <c r="AF25" s="1169" t="s">
        <v>802</v>
      </c>
    </row>
    <row r="26" spans="1:36" ht="24.95" customHeight="1" thickBot="1">
      <c r="A26" s="1131"/>
      <c r="Q26" s="1131"/>
      <c r="S26" s="2475"/>
      <c r="T26" s="2460"/>
      <c r="U26" s="2460"/>
      <c r="V26" s="2460"/>
      <c r="W26" s="2460"/>
      <c r="X26" s="2460"/>
      <c r="Y26" s="2460"/>
      <c r="Z26" s="2460"/>
      <c r="AA26" s="2460"/>
      <c r="AB26" s="2460"/>
      <c r="AC26" s="2462"/>
      <c r="AD26" s="2480"/>
      <c r="AE26" s="1171"/>
      <c r="AF26" s="1172"/>
      <c r="AI26" s="1132" t="s">
        <v>809</v>
      </c>
    </row>
    <row r="27" spans="1:36" ht="24.95" customHeight="1" thickTop="1">
      <c r="A27" s="1131"/>
      <c r="Q27" s="1131"/>
      <c r="S27" s="1180" t="s">
        <v>1217</v>
      </c>
      <c r="T27" s="1192">
        <v>2394009</v>
      </c>
      <c r="U27" s="1193">
        <v>2353536</v>
      </c>
      <c r="V27" s="1193">
        <v>2700010</v>
      </c>
      <c r="W27" s="1193">
        <v>2930127</v>
      </c>
      <c r="X27" s="1193">
        <v>2924052</v>
      </c>
      <c r="Y27" s="1193">
        <v>2661084</v>
      </c>
      <c r="Z27" s="1193">
        <v>2731669</v>
      </c>
      <c r="AA27" s="1193">
        <v>2958598</v>
      </c>
      <c r="AB27" s="1193">
        <v>3084529</v>
      </c>
      <c r="AC27" s="1150">
        <v>3202002</v>
      </c>
      <c r="AD27" s="1150">
        <v>3504437</v>
      </c>
      <c r="AE27" s="1194">
        <f>IF(ISERROR((AD27/AC27-1)*100),"-",(AD27/AC27-1)*100)</f>
        <v>9.4451846063806411</v>
      </c>
      <c r="AF27" s="1184">
        <f>IF(ISERROR(((AD27/T27)^(1/10)-1)*100),"-",((AD27/T27)^(1/10)-1)*100)</f>
        <v>3.8841397557287882</v>
      </c>
      <c r="AI27" s="1152">
        <f>'Ⅱ-2-(2)_AA実績月次推移'!R11</f>
        <v>3504437</v>
      </c>
      <c r="AJ27" s="1152" t="str">
        <f>IF($AD7=$AI7,"OK","NG")</f>
        <v>OK</v>
      </c>
    </row>
    <row r="28" spans="1:36" ht="24.75" customHeight="1">
      <c r="A28" s="1131"/>
      <c r="B28" s="1131"/>
      <c r="C28" s="1131"/>
      <c r="D28" s="1131"/>
      <c r="E28" s="1131"/>
      <c r="F28" s="1131"/>
      <c r="G28" s="1131"/>
      <c r="H28" s="1131"/>
      <c r="I28" s="1131"/>
      <c r="J28" s="1131"/>
      <c r="K28" s="1131"/>
      <c r="L28" s="1131"/>
      <c r="M28" s="1131"/>
      <c r="N28" s="1131"/>
      <c r="O28" s="1132"/>
      <c r="P28" s="1132"/>
      <c r="Q28" s="1131"/>
      <c r="S28" s="1185" t="s">
        <v>1218</v>
      </c>
      <c r="T28" s="1195">
        <v>1562399</v>
      </c>
      <c r="U28" s="1149">
        <v>1508843</v>
      </c>
      <c r="V28" s="1149">
        <v>1709998</v>
      </c>
      <c r="W28" s="1149">
        <v>1825991</v>
      </c>
      <c r="X28" s="1149">
        <v>1772443</v>
      </c>
      <c r="Y28" s="1149">
        <v>1680810</v>
      </c>
      <c r="Z28" s="1149">
        <v>1787302</v>
      </c>
      <c r="AA28" s="1149">
        <v>1863988</v>
      </c>
      <c r="AB28" s="1149">
        <v>1986643</v>
      </c>
      <c r="AC28" s="1154">
        <v>2145158</v>
      </c>
      <c r="AD28" s="1154">
        <v>2347566</v>
      </c>
      <c r="AE28" s="1196">
        <f>IF(ISERROR((AD28/AC28-1)*100),"-",(AD28/AC28-1)*100)</f>
        <v>9.4355753748675006</v>
      </c>
      <c r="AF28" s="1189">
        <f>IF(ISERROR(((AD28/T28)^(1/10)-1)*100),"-",((AD28/T28)^(1/10)-1)*100)</f>
        <v>4.1555905991035091</v>
      </c>
      <c r="AI28" s="1152">
        <f>'Ⅱ-2-(2)_AA実績月次推移'!R18</f>
        <v>2347566</v>
      </c>
      <c r="AJ28" s="1152" t="str">
        <f>IF($AD7=$AI7,"OK","NG")</f>
        <v>OK</v>
      </c>
    </row>
    <row r="29" spans="1:36" ht="12.95" customHeight="1" thickBot="1">
      <c r="A29" s="1131"/>
      <c r="B29" s="1131"/>
      <c r="C29" s="1131"/>
      <c r="D29" s="1131"/>
      <c r="E29" s="1131"/>
      <c r="F29" s="1131"/>
      <c r="G29" s="1131"/>
      <c r="H29" s="1131"/>
      <c r="I29" s="1131"/>
      <c r="J29" s="1131"/>
      <c r="K29" s="1131"/>
      <c r="L29" s="1131"/>
      <c r="M29" s="1131"/>
      <c r="N29" s="1131"/>
      <c r="O29" s="1132"/>
      <c r="P29" s="1132"/>
      <c r="Q29" s="1131"/>
      <c r="S29" s="1190" t="s">
        <v>1219</v>
      </c>
      <c r="T29" s="1158">
        <f t="shared" ref="T29:AD29" si="15">IF(OR(T27="-",T28="-"),"-",T28/T27*100)</f>
        <v>65.262870774504194</v>
      </c>
      <c r="U29" s="1158">
        <f t="shared" si="15"/>
        <v>64.109620587915373</v>
      </c>
      <c r="V29" s="1158">
        <f t="shared" si="15"/>
        <v>63.333024692501141</v>
      </c>
      <c r="W29" s="1158">
        <f t="shared" si="15"/>
        <v>62.317810797962004</v>
      </c>
      <c r="X29" s="1158">
        <f t="shared" si="15"/>
        <v>60.615987677373731</v>
      </c>
      <c r="Y29" s="1158">
        <f t="shared" si="15"/>
        <v>63.162605915484072</v>
      </c>
      <c r="Z29" s="1158">
        <f t="shared" si="15"/>
        <v>65.428937400541571</v>
      </c>
      <c r="AA29" s="1158">
        <f t="shared" si="15"/>
        <v>63.002408573249902</v>
      </c>
      <c r="AB29" s="1158">
        <f t="shared" si="15"/>
        <v>64.406688995305288</v>
      </c>
      <c r="AC29" s="1158">
        <f t="shared" si="15"/>
        <v>66.994274207199126</v>
      </c>
      <c r="AD29" s="1161">
        <f t="shared" si="15"/>
        <v>66.988392144016288</v>
      </c>
      <c r="AE29" s="1197" t="s">
        <v>324</v>
      </c>
      <c r="AF29" s="1197" t="s">
        <v>324</v>
      </c>
      <c r="AI29" s="1133">
        <f>'Ⅱ-2-(2)_AA実績月次推移'!R22</f>
        <v>67</v>
      </c>
      <c r="AJ29" s="1152" t="str">
        <f>IF($AD7=$AI7,"OK","NG")</f>
        <v>OK</v>
      </c>
    </row>
    <row r="30" spans="1:36">
      <c r="A30" s="1131"/>
      <c r="B30" s="1131"/>
      <c r="C30" s="1131"/>
      <c r="D30" s="1131"/>
      <c r="E30" s="1131"/>
      <c r="F30" s="1131"/>
      <c r="G30" s="1131"/>
      <c r="H30" s="1131"/>
      <c r="I30" s="1131"/>
      <c r="J30" s="1131"/>
      <c r="K30" s="1131"/>
      <c r="L30" s="1131"/>
      <c r="M30" s="1131"/>
      <c r="N30" s="1131"/>
      <c r="O30" s="1132"/>
      <c r="P30" s="1132"/>
      <c r="Q30" s="1131"/>
    </row>
    <row r="31" spans="1:36">
      <c r="A31" s="1131"/>
      <c r="B31" s="1131"/>
      <c r="C31" s="1131"/>
      <c r="D31" s="1131"/>
      <c r="E31" s="1131"/>
      <c r="F31" s="1131"/>
      <c r="G31" s="1131"/>
      <c r="H31" s="1131"/>
      <c r="I31" s="1131"/>
      <c r="J31" s="1131"/>
      <c r="K31" s="1131"/>
      <c r="L31" s="1131"/>
      <c r="M31" s="1131"/>
      <c r="N31" s="1131"/>
      <c r="O31" s="1132"/>
      <c r="P31" s="1132"/>
      <c r="Q31" s="1131"/>
      <c r="S31" s="1133" t="s">
        <v>810</v>
      </c>
    </row>
    <row r="32" spans="1:36">
      <c r="A32" s="1131"/>
      <c r="B32" s="1131"/>
      <c r="C32" s="1131"/>
      <c r="D32" s="1131"/>
      <c r="E32" s="1131"/>
      <c r="F32" s="1131"/>
      <c r="G32" s="1131"/>
      <c r="H32" s="1131"/>
      <c r="I32" s="1131"/>
      <c r="J32" s="1131"/>
      <c r="K32" s="1131"/>
      <c r="L32" s="1131"/>
      <c r="M32" s="1131"/>
      <c r="N32" s="1131"/>
      <c r="O32" s="1132"/>
      <c r="P32" s="1132"/>
      <c r="Q32" s="1131"/>
      <c r="S32" s="1713" t="s">
        <v>1630</v>
      </c>
    </row>
    <row r="33" spans="1:17">
      <c r="A33" s="1131"/>
      <c r="B33" s="1131"/>
      <c r="C33" s="1131"/>
      <c r="D33" s="1131"/>
      <c r="E33" s="1131"/>
      <c r="F33" s="1131"/>
      <c r="G33" s="1131"/>
      <c r="H33" s="1131"/>
      <c r="I33" s="1131"/>
      <c r="J33" s="1131"/>
      <c r="K33" s="1131"/>
      <c r="L33" s="1131"/>
      <c r="M33" s="1131"/>
      <c r="N33" s="1131"/>
      <c r="O33" s="1132"/>
      <c r="P33" s="1132"/>
      <c r="Q33" s="1131"/>
    </row>
    <row r="34" spans="1:17">
      <c r="A34" s="1131"/>
      <c r="B34" s="1131"/>
      <c r="C34" s="1131"/>
      <c r="D34" s="1131"/>
      <c r="E34" s="1131"/>
      <c r="F34" s="1131"/>
      <c r="G34" s="1131"/>
      <c r="H34" s="1131"/>
      <c r="I34" s="1131"/>
      <c r="J34" s="1131"/>
      <c r="K34" s="1131"/>
      <c r="L34" s="1131"/>
      <c r="M34" s="1131"/>
      <c r="N34" s="1131"/>
      <c r="O34" s="1132"/>
      <c r="P34" s="1132"/>
      <c r="Q34" s="1131"/>
    </row>
    <row r="35" spans="1:17">
      <c r="A35" s="1131"/>
      <c r="B35" s="1131"/>
      <c r="C35" s="1131"/>
      <c r="D35" s="1131"/>
      <c r="E35" s="1131"/>
      <c r="F35" s="1131"/>
      <c r="G35" s="1131"/>
      <c r="H35" s="1131"/>
      <c r="I35" s="1131"/>
      <c r="J35" s="1131"/>
      <c r="K35" s="1131"/>
      <c r="L35" s="1131"/>
      <c r="M35" s="1131"/>
      <c r="N35" s="1131"/>
      <c r="O35" s="1132"/>
      <c r="P35" s="1132"/>
      <c r="Q35" s="1131"/>
    </row>
    <row r="36" spans="1:17">
      <c r="A36" s="1131"/>
      <c r="B36" s="1131"/>
      <c r="C36" s="1131"/>
      <c r="D36" s="1131"/>
      <c r="E36" s="1131"/>
      <c r="F36" s="1131"/>
      <c r="G36" s="1131"/>
      <c r="H36" s="1131"/>
      <c r="I36" s="1131"/>
      <c r="J36" s="1131"/>
      <c r="K36" s="1131"/>
      <c r="L36" s="1131"/>
      <c r="M36" s="1131"/>
      <c r="N36" s="1131"/>
      <c r="O36" s="1132"/>
      <c r="P36" s="1132"/>
      <c r="Q36" s="1131"/>
    </row>
    <row r="37" spans="1:17">
      <c r="A37" s="1131"/>
      <c r="B37" s="1131"/>
      <c r="C37" s="1131"/>
      <c r="D37" s="1131"/>
      <c r="E37" s="1131"/>
      <c r="F37" s="1131"/>
      <c r="G37" s="1131"/>
      <c r="H37" s="1131"/>
      <c r="I37" s="1131"/>
      <c r="J37" s="1131"/>
      <c r="K37" s="1131"/>
      <c r="L37" s="1131"/>
      <c r="M37" s="1131"/>
      <c r="N37" s="1131"/>
      <c r="O37" s="1132"/>
      <c r="P37" s="1132"/>
      <c r="Q37" s="1131"/>
    </row>
    <row r="38" spans="1:17">
      <c r="A38" s="1131"/>
      <c r="B38" s="1131"/>
      <c r="C38" s="1131"/>
      <c r="D38" s="1131"/>
      <c r="E38" s="1131"/>
      <c r="F38" s="1131"/>
      <c r="G38" s="1131"/>
      <c r="H38" s="1131"/>
      <c r="I38" s="1131"/>
      <c r="J38" s="1131"/>
      <c r="K38" s="1131"/>
      <c r="L38" s="1131"/>
      <c r="M38" s="1131"/>
      <c r="N38" s="1131"/>
      <c r="O38" s="1132"/>
      <c r="P38" s="1132"/>
      <c r="Q38" s="1131"/>
    </row>
    <row r="39" spans="1:17">
      <c r="A39" s="1131"/>
      <c r="B39" s="1131"/>
      <c r="C39" s="1131"/>
      <c r="D39" s="1131"/>
      <c r="E39" s="1131"/>
      <c r="F39" s="1131"/>
      <c r="G39" s="1131"/>
      <c r="H39" s="1131"/>
      <c r="I39" s="1131"/>
      <c r="J39" s="1131"/>
      <c r="K39" s="1131"/>
      <c r="L39" s="1131"/>
      <c r="M39" s="1131"/>
      <c r="N39" s="1131"/>
      <c r="O39" s="1132"/>
      <c r="P39" s="1132"/>
      <c r="Q39" s="1131"/>
    </row>
    <row r="40" spans="1:17">
      <c r="A40" s="1131"/>
      <c r="B40" s="1131"/>
      <c r="C40" s="1131"/>
      <c r="D40" s="1131"/>
      <c r="E40" s="1131"/>
      <c r="F40" s="1131"/>
      <c r="G40" s="1131"/>
      <c r="H40" s="1131"/>
      <c r="I40" s="1131"/>
      <c r="J40" s="1131"/>
      <c r="K40" s="1131"/>
      <c r="L40" s="1131"/>
      <c r="M40" s="1131"/>
      <c r="N40" s="1131"/>
      <c r="O40" s="1132"/>
      <c r="P40" s="1132"/>
      <c r="Q40" s="1131"/>
    </row>
    <row r="41" spans="1:17" ht="37.5" customHeight="1">
      <c r="A41" s="1131"/>
      <c r="B41" s="1131"/>
      <c r="C41" s="1131"/>
      <c r="D41" s="1131"/>
      <c r="E41" s="1131"/>
      <c r="F41" s="1131"/>
      <c r="G41" s="1131"/>
      <c r="H41" s="1131"/>
      <c r="I41" s="1131"/>
      <c r="J41" s="1131"/>
      <c r="K41" s="1131"/>
      <c r="L41" s="1131"/>
      <c r="M41" s="1131"/>
      <c r="N41" s="1131"/>
      <c r="O41" s="1132"/>
      <c r="P41" s="1132"/>
      <c r="Q41" s="1131"/>
    </row>
    <row r="42" spans="1:17">
      <c r="A42" s="1131"/>
      <c r="B42" s="1131"/>
      <c r="C42" s="1131"/>
      <c r="D42" s="1131"/>
      <c r="E42" s="1131"/>
      <c r="F42" s="1131"/>
      <c r="G42" s="1131"/>
      <c r="H42" s="1131"/>
      <c r="I42" s="1131"/>
      <c r="J42" s="1131"/>
      <c r="K42" s="1131"/>
      <c r="L42" s="1131"/>
      <c r="M42" s="1131"/>
      <c r="N42" s="1131"/>
      <c r="O42" s="1132"/>
      <c r="P42" s="1132"/>
      <c r="Q42" s="1131"/>
    </row>
    <row r="43" spans="1:17" ht="24" customHeight="1">
      <c r="A43" s="1131"/>
      <c r="B43" s="1131"/>
      <c r="C43" s="1131"/>
      <c r="D43" s="1131"/>
      <c r="E43" s="1131"/>
      <c r="F43" s="1131"/>
      <c r="G43" s="1131"/>
      <c r="H43" s="1131"/>
      <c r="I43" s="1131"/>
      <c r="J43" s="1131"/>
      <c r="K43" s="1131"/>
      <c r="L43" s="1131"/>
      <c r="M43" s="1131"/>
      <c r="N43" s="1131"/>
      <c r="O43" s="1132"/>
      <c r="P43" s="1132"/>
      <c r="Q43" s="1131"/>
    </row>
    <row r="44" spans="1:17">
      <c r="A44" s="1131"/>
      <c r="B44" s="1131"/>
      <c r="C44" s="1131"/>
      <c r="D44" s="1131"/>
      <c r="E44" s="1131"/>
      <c r="F44" s="1131"/>
      <c r="G44" s="1131"/>
      <c r="H44" s="1131"/>
      <c r="I44" s="1131"/>
      <c r="J44" s="1131"/>
      <c r="K44" s="1131"/>
      <c r="L44" s="1131"/>
      <c r="M44" s="1131"/>
      <c r="N44" s="1131"/>
      <c r="O44" s="1132"/>
      <c r="P44" s="1132"/>
      <c r="Q44" s="1131"/>
    </row>
    <row r="45" spans="1:17">
      <c r="A45" s="1131"/>
      <c r="B45" s="1131"/>
      <c r="C45" s="1131"/>
      <c r="D45" s="1131"/>
      <c r="E45" s="1131"/>
      <c r="F45" s="1131"/>
      <c r="G45" s="1131"/>
      <c r="H45" s="1131"/>
      <c r="I45" s="1131"/>
      <c r="J45" s="1131"/>
      <c r="K45" s="1131"/>
      <c r="L45" s="1131"/>
      <c r="M45" s="1131"/>
      <c r="N45" s="1131"/>
      <c r="O45" s="1132"/>
      <c r="P45" s="1132"/>
      <c r="Q45" s="1131"/>
    </row>
    <row r="48" spans="1:17" ht="9" customHeight="1"/>
  </sheetData>
  <sheetProtection algorithmName="SHA-512" hashValue="YWwM3gOIYenTrCeBDWixzSglb3vZlQFfGvDmhtcZ8KRPKqkzbicj6GHuu2hRW0YZhi3kP9vnaJUQa52Tv/x9rA==" saltValue="GeYZYl/+rfOrAbIFprtD3g==" spinCount="100000" sheet="1" objects="1" scenarios="1"/>
  <customSheetViews>
    <customSheetView guid="{06451E13-97D0-44F4-875B-E8D80B2F1CF1}" scale="85" showPageBreaks="1" fitToPage="1" printArea="1" view="pageBreakPreview" topLeftCell="Q7">
      <selection activeCell="AB27" sqref="AB27"/>
      <pageMargins left="0" right="0" top="0" bottom="0" header="0" footer="0"/>
      <printOptions horizontalCentered="1" verticalCentered="1"/>
      <pageSetup paperSize="9" scale="74" orientation="landscape" r:id="rId1"/>
      <headerFooter scaleWithDoc="0" alignWithMargins="0">
        <oddFooter>&amp;C&amp;"Arial,標準"&amp;12 12</oddFooter>
      </headerFooter>
    </customSheetView>
  </customSheetViews>
  <mergeCells count="63">
    <mergeCell ref="AD25:AD26"/>
    <mergeCell ref="W25:W26"/>
    <mergeCell ref="X25:X26"/>
    <mergeCell ref="Y25:Y26"/>
    <mergeCell ref="Z25:Z26"/>
    <mergeCell ref="AA25:AA26"/>
    <mergeCell ref="AB25:AB26"/>
    <mergeCell ref="D5:D6"/>
    <mergeCell ref="B5:C6"/>
    <mergeCell ref="B12:C13"/>
    <mergeCell ref="D12:D13"/>
    <mergeCell ref="AC25:AC26"/>
    <mergeCell ref="U25:U26"/>
    <mergeCell ref="V25:V26"/>
    <mergeCell ref="M12:M13"/>
    <mergeCell ref="N12:N13"/>
    <mergeCell ref="S25:S26"/>
    <mergeCell ref="T25:T26"/>
    <mergeCell ref="K12:K13"/>
    <mergeCell ref="L12:L13"/>
    <mergeCell ref="F5:F6"/>
    <mergeCell ref="E5:E6"/>
    <mergeCell ref="J5:J6"/>
    <mergeCell ref="I5:I6"/>
    <mergeCell ref="G12:G13"/>
    <mergeCell ref="H12:H13"/>
    <mergeCell ref="E12:E13"/>
    <mergeCell ref="F12:F13"/>
    <mergeCell ref="H5:H6"/>
    <mergeCell ref="G5:G6"/>
    <mergeCell ref="I12:I13"/>
    <mergeCell ref="L5:L6"/>
    <mergeCell ref="K5:K6"/>
    <mergeCell ref="M5:M6"/>
    <mergeCell ref="S12:S13"/>
    <mergeCell ref="T12:T13"/>
    <mergeCell ref="Y5:Y6"/>
    <mergeCell ref="X5:X6"/>
    <mergeCell ref="W5:W6"/>
    <mergeCell ref="N5:N6"/>
    <mergeCell ref="V5:V6"/>
    <mergeCell ref="U5:U6"/>
    <mergeCell ref="T5:T6"/>
    <mergeCell ref="S5:S6"/>
    <mergeCell ref="AD5:AD6"/>
    <mergeCell ref="AC5:AC6"/>
    <mergeCell ref="AB5:AB6"/>
    <mergeCell ref="AA5:AA6"/>
    <mergeCell ref="Z5:Z6"/>
    <mergeCell ref="W12:W13"/>
    <mergeCell ref="AC12:AC13"/>
    <mergeCell ref="AD12:AD13"/>
    <mergeCell ref="Y12:Y13"/>
    <mergeCell ref="Z12:Z13"/>
    <mergeCell ref="AA12:AA13"/>
    <mergeCell ref="AB12:AB13"/>
    <mergeCell ref="X12:X13"/>
    <mergeCell ref="B14:C14"/>
    <mergeCell ref="B15:C15"/>
    <mergeCell ref="B16:C16"/>
    <mergeCell ref="U12:U13"/>
    <mergeCell ref="V12:V13"/>
    <mergeCell ref="J12:J13"/>
  </mergeCells>
  <phoneticPr fontId="17"/>
  <printOptions horizontalCentered="1" verticalCentered="1"/>
  <pageMargins left="0" right="0" top="0" bottom="0" header="0" footer="0"/>
  <pageSetup paperSize="9" scale="76" orientation="landscape" r:id="rId2"/>
  <headerFooter scaleWithDoc="0" alignWithMargins="0">
    <oddFooter>&amp;C&amp;"Arial,標準"&amp;12 12</oddFooter>
  </headerFooter>
  <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AK78"/>
  <sheetViews>
    <sheetView view="pageBreakPreview" zoomScale="55" zoomScaleNormal="85" zoomScaleSheetLayoutView="55" workbookViewId="0">
      <selection activeCell="R1" sqref="R1:BF1048576"/>
    </sheetView>
  </sheetViews>
  <sheetFormatPr defaultColWidth="9.140625" defaultRowHeight="12.75" outlineLevelRow="1"/>
  <cols>
    <col min="1" max="1" width="12.85546875" style="1133" customWidth="1"/>
    <col min="2" max="2" width="22.140625" style="1133" customWidth="1"/>
    <col min="3" max="3" width="21.140625" style="1133" customWidth="1"/>
    <col min="4" max="14" width="11.140625" style="1133" customWidth="1"/>
    <col min="15" max="16" width="11.140625" style="1165" customWidth="1"/>
    <col min="17" max="17" width="15" style="1133" customWidth="1"/>
    <col min="18" max="18" width="6.140625" style="1133" hidden="1" customWidth="1"/>
    <col min="19" max="19" width="28.140625" style="1133" hidden="1" customWidth="1"/>
    <col min="20" max="30" width="14.85546875" style="1133" hidden="1" customWidth="1"/>
    <col min="31" max="31" width="11" style="1133" hidden="1" customWidth="1"/>
    <col min="32" max="32" width="14.140625" style="1133" hidden="1" customWidth="1"/>
    <col min="33" max="33" width="2" style="1133" hidden="1" customWidth="1"/>
    <col min="34" max="34" width="3.140625" style="1133" hidden="1" customWidth="1"/>
    <col min="35" max="35" width="11" style="1133" hidden="1" customWidth="1"/>
    <col min="36" max="36" width="0" style="1133" hidden="1" customWidth="1"/>
    <col min="37" max="37" width="11" style="1133" hidden="1" customWidth="1"/>
    <col min="38" max="58" width="0" style="1133" hidden="1" customWidth="1"/>
    <col min="59" max="16384" width="9.140625" style="1133"/>
  </cols>
  <sheetData>
    <row r="1" spans="1:37" ht="66" customHeight="1">
      <c r="A1" s="1131"/>
      <c r="B1" s="1131"/>
      <c r="C1" s="1131"/>
      <c r="D1" s="1131"/>
      <c r="E1" s="1131"/>
      <c r="F1" s="1131"/>
      <c r="G1" s="1131"/>
      <c r="H1" s="1131"/>
      <c r="I1" s="1131"/>
      <c r="J1" s="1131"/>
      <c r="K1" s="1131"/>
      <c r="L1" s="1131"/>
      <c r="M1" s="1131"/>
      <c r="N1" s="1131"/>
      <c r="O1" s="1132"/>
      <c r="P1" s="1132"/>
      <c r="Q1" s="1131"/>
    </row>
    <row r="2" spans="1:37" ht="19.5" customHeight="1">
      <c r="A2" s="1134"/>
      <c r="B2" s="1134"/>
      <c r="C2" s="1134"/>
      <c r="D2" s="1131"/>
      <c r="E2" s="1131"/>
      <c r="F2" s="1131"/>
      <c r="G2" s="1131"/>
      <c r="H2" s="1131"/>
      <c r="I2" s="1131"/>
      <c r="J2" s="1131"/>
      <c r="K2" s="1131"/>
      <c r="L2" s="1131"/>
      <c r="M2" s="1131"/>
      <c r="N2" s="1131"/>
      <c r="O2" s="1132"/>
      <c r="P2" s="1132"/>
      <c r="Q2" s="1131"/>
    </row>
    <row r="3" spans="1:37" ht="34.5" customHeight="1">
      <c r="A3" s="1131"/>
      <c r="B3" s="1131"/>
      <c r="C3" s="1131"/>
      <c r="D3" s="1131"/>
      <c r="E3" s="1131"/>
      <c r="F3" s="1131"/>
      <c r="G3" s="1131"/>
      <c r="H3" s="1131"/>
      <c r="I3" s="1131"/>
      <c r="J3" s="1131"/>
      <c r="K3" s="1131"/>
      <c r="L3" s="1131"/>
      <c r="M3" s="1131"/>
      <c r="N3" s="1131"/>
      <c r="O3" s="1132"/>
      <c r="P3" s="1132"/>
      <c r="Q3" s="1131"/>
      <c r="T3" s="145" t="s">
        <v>1695</v>
      </c>
    </row>
    <row r="4" spans="1:37" ht="25.5" customHeight="1" thickBot="1">
      <c r="A4" s="1131"/>
      <c r="B4" s="1131"/>
      <c r="C4" s="1131"/>
      <c r="D4" s="1131"/>
      <c r="E4" s="1131"/>
      <c r="F4" s="1135"/>
      <c r="G4" s="1131"/>
      <c r="H4" s="1135"/>
      <c r="I4" s="1135"/>
      <c r="J4" s="1131"/>
      <c r="K4" s="1135"/>
      <c r="L4" s="1135"/>
      <c r="M4" s="1135"/>
      <c r="N4" s="1136"/>
      <c r="O4" s="1137"/>
      <c r="P4" s="1815" t="s">
        <v>1715</v>
      </c>
      <c r="Q4" s="1131"/>
      <c r="S4" s="1133" t="s">
        <v>793</v>
      </c>
      <c r="T4" s="2134" t="s">
        <v>1687</v>
      </c>
      <c r="U4" s="1139"/>
      <c r="V4" s="1139"/>
      <c r="W4" s="1139"/>
      <c r="X4" s="1139"/>
      <c r="Y4" s="1139"/>
      <c r="Z4" s="1139"/>
      <c r="AA4" s="1139"/>
      <c r="AB4" s="1139"/>
      <c r="AD4" s="1139"/>
      <c r="AE4" s="1139"/>
      <c r="AF4" s="1139"/>
    </row>
    <row r="5" spans="1:37" s="1132" customFormat="1" ht="24" customHeight="1">
      <c r="B5" s="2478"/>
      <c r="C5" s="2478"/>
      <c r="D5" s="2453" t="str">
        <f>T5</f>
        <v>2016.3</v>
      </c>
      <c r="E5" s="2206" t="str">
        <f t="shared" ref="E5:N5" si="0">U5</f>
        <v>2017.3</v>
      </c>
      <c r="F5" s="2206" t="str">
        <f t="shared" si="0"/>
        <v>2018.3</v>
      </c>
      <c r="G5" s="2206" t="str">
        <f t="shared" si="0"/>
        <v>2019.3</v>
      </c>
      <c r="H5" s="2206" t="str">
        <f t="shared" si="0"/>
        <v>2020.3</v>
      </c>
      <c r="I5" s="2206" t="str">
        <f t="shared" si="0"/>
        <v>2021.3</v>
      </c>
      <c r="J5" s="2206" t="str">
        <f t="shared" si="0"/>
        <v>2022.3</v>
      </c>
      <c r="K5" s="2206" t="str">
        <f t="shared" si="0"/>
        <v>2023.3</v>
      </c>
      <c r="L5" s="2206" t="str">
        <f t="shared" si="0"/>
        <v>2024.3</v>
      </c>
      <c r="M5" s="2206" t="str">
        <f t="shared" si="0"/>
        <v>2025.3</v>
      </c>
      <c r="N5" s="2306" t="str">
        <f t="shared" si="0"/>
        <v>2026.3</v>
      </c>
      <c r="O5" s="912" t="s">
        <v>638</v>
      </c>
      <c r="P5" s="913" t="s">
        <v>558</v>
      </c>
      <c r="S5" s="2474"/>
      <c r="T5" s="1141" t="s">
        <v>260</v>
      </c>
      <c r="U5" s="1141" t="s">
        <v>261</v>
      </c>
      <c r="V5" s="1141" t="s">
        <v>377</v>
      </c>
      <c r="W5" s="1141" t="s">
        <v>396</v>
      </c>
      <c r="X5" s="1141" t="s">
        <v>422</v>
      </c>
      <c r="Y5" s="1141" t="s">
        <v>447</v>
      </c>
      <c r="Z5" s="1141" t="s">
        <v>1089</v>
      </c>
      <c r="AA5" s="1140" t="s">
        <v>1430</v>
      </c>
      <c r="AB5" s="1140" t="s">
        <v>1506</v>
      </c>
      <c r="AC5" s="1199" t="s">
        <v>1626</v>
      </c>
      <c r="AD5" s="1142" t="s">
        <v>1628</v>
      </c>
      <c r="AE5" s="1143" t="s">
        <v>703</v>
      </c>
      <c r="AF5" s="1143" t="s">
        <v>794</v>
      </c>
    </row>
    <row r="6" spans="1:37" s="1132" customFormat="1" ht="18.95" customHeight="1" thickBot="1">
      <c r="B6" s="2479"/>
      <c r="C6" s="2479"/>
      <c r="D6" s="2207"/>
      <c r="E6" s="2207"/>
      <c r="F6" s="2207"/>
      <c r="G6" s="2207"/>
      <c r="H6" s="2207"/>
      <c r="I6" s="2207"/>
      <c r="J6" s="2207"/>
      <c r="K6" s="2207"/>
      <c r="L6" s="2207"/>
      <c r="M6" s="2207"/>
      <c r="N6" s="2450"/>
      <c r="O6" s="1200" t="s">
        <v>511</v>
      </c>
      <c r="P6" s="1201" t="s">
        <v>509</v>
      </c>
      <c r="S6" s="2475"/>
      <c r="T6" s="1145"/>
      <c r="U6" s="1145"/>
      <c r="V6" s="1145"/>
      <c r="W6" s="1145"/>
      <c r="X6" s="1145"/>
      <c r="Y6" s="1145"/>
      <c r="Z6" s="1145"/>
      <c r="AA6" s="1144"/>
      <c r="AB6" s="1144"/>
      <c r="AC6" s="1202"/>
      <c r="AD6" s="1203"/>
      <c r="AE6" s="858" t="s">
        <v>373</v>
      </c>
      <c r="AF6" s="859" t="s">
        <v>264</v>
      </c>
    </row>
    <row r="7" spans="1:37" ht="15.95" customHeight="1" thickTop="1">
      <c r="A7" s="1131"/>
      <c r="B7" s="1204" t="s">
        <v>811</v>
      </c>
      <c r="C7" s="1204"/>
      <c r="D7" s="1065">
        <f t="shared" ref="D7:E13" si="1">IF(OR(T7="-",T7=""),"-",ROUNDDOWN(T7,-6)/1000000)</f>
        <v>12780</v>
      </c>
      <c r="E7" s="1065">
        <f t="shared" si="1"/>
        <v>12432</v>
      </c>
      <c r="F7" s="1065">
        <f t="shared" ref="F7:N13" si="2">IF(OR(V7="-",V7=""),"-",ROUNDDOWN(V7,-6)/1000000)</f>
        <v>14153</v>
      </c>
      <c r="G7" s="1065">
        <f t="shared" si="2"/>
        <v>15269</v>
      </c>
      <c r="H7" s="1065">
        <f t="shared" si="2"/>
        <v>15047</v>
      </c>
      <c r="I7" s="1065">
        <f t="shared" si="2"/>
        <v>14151</v>
      </c>
      <c r="J7" s="1065">
        <f t="shared" si="2"/>
        <v>15198</v>
      </c>
      <c r="K7" s="1065">
        <f t="shared" si="2"/>
        <v>16570</v>
      </c>
      <c r="L7" s="1065">
        <f t="shared" si="2"/>
        <v>17501</v>
      </c>
      <c r="M7" s="1065">
        <f t="shared" si="2"/>
        <v>18416</v>
      </c>
      <c r="N7" s="1065">
        <f t="shared" si="2"/>
        <v>19877</v>
      </c>
      <c r="O7" s="1205">
        <f t="shared" ref="O7:O13" si="3">AE7</f>
        <v>7.9331340819126739</v>
      </c>
      <c r="P7" s="1205">
        <f t="shared" ref="P7:P13" si="4">AF7</f>
        <v>4.5160774088607525</v>
      </c>
      <c r="Q7" s="1131"/>
      <c r="R7" s="887"/>
      <c r="S7" s="1206" t="s">
        <v>812</v>
      </c>
      <c r="T7" s="1149">
        <v>12780230976</v>
      </c>
      <c r="U7" s="1149">
        <v>12432646322</v>
      </c>
      <c r="V7" s="1149">
        <v>14153520995</v>
      </c>
      <c r="W7" s="1149">
        <v>15269486973</v>
      </c>
      <c r="X7" s="1149">
        <v>15047717814</v>
      </c>
      <c r="Y7" s="1149">
        <v>14151436900</v>
      </c>
      <c r="Z7" s="1149">
        <v>15198700650</v>
      </c>
      <c r="AA7" s="1149">
        <v>16570553000</v>
      </c>
      <c r="AB7" s="861">
        <v>17501581900</v>
      </c>
      <c r="AC7" s="1207">
        <v>18416832300</v>
      </c>
      <c r="AD7" s="1154">
        <v>19877864300</v>
      </c>
      <c r="AE7" s="1196">
        <f t="shared" ref="AE7:AE13" si="5">IF(ISERROR((AD7/AC7-1)*100),"-",(AD7/AC7-1)*100)</f>
        <v>7.9331340819126739</v>
      </c>
      <c r="AF7" s="1196">
        <f>IF(ISERROR(((AD7/T7)^(1/10)-1)*100),"-",((AD7/T7)^(1/10)-1)*100)</f>
        <v>4.5160774088607525</v>
      </c>
      <c r="AG7" s="1208"/>
      <c r="AH7" s="1132"/>
      <c r="AI7" s="1132"/>
    </row>
    <row r="8" spans="1:37" ht="15.95" customHeight="1">
      <c r="A8" s="1131"/>
      <c r="B8" s="1209" t="s">
        <v>813</v>
      </c>
      <c r="C8" s="1209"/>
      <c r="D8" s="1066">
        <f t="shared" si="1"/>
        <v>12335</v>
      </c>
      <c r="E8" s="1066">
        <f t="shared" si="1"/>
        <v>12073</v>
      </c>
      <c r="F8" s="1066">
        <f t="shared" si="2"/>
        <v>13858</v>
      </c>
      <c r="G8" s="1066">
        <f t="shared" si="2"/>
        <v>14898</v>
      </c>
      <c r="H8" s="1066">
        <f t="shared" si="2"/>
        <v>14499</v>
      </c>
      <c r="I8" s="1066">
        <f t="shared" si="2"/>
        <v>14088</v>
      </c>
      <c r="J8" s="1066">
        <f t="shared" si="2"/>
        <v>15088</v>
      </c>
      <c r="K8" s="1066">
        <f t="shared" si="2"/>
        <v>15721</v>
      </c>
      <c r="L8" s="1066">
        <f t="shared" si="2"/>
        <v>17436</v>
      </c>
      <c r="M8" s="1066">
        <f t="shared" si="2"/>
        <v>18675</v>
      </c>
      <c r="N8" s="1066">
        <f t="shared" si="2"/>
        <v>19970</v>
      </c>
      <c r="O8" s="1125">
        <f t="shared" si="3"/>
        <v>6.9337941362314082</v>
      </c>
      <c r="P8" s="1125">
        <f t="shared" si="4"/>
        <v>4.935563809977217</v>
      </c>
      <c r="Q8" s="1131"/>
      <c r="R8" s="887"/>
      <c r="S8" s="1206" t="s">
        <v>814</v>
      </c>
      <c r="T8" s="1149">
        <v>12335763630</v>
      </c>
      <c r="U8" s="1149">
        <v>12073176442</v>
      </c>
      <c r="V8" s="1149">
        <v>13858620267</v>
      </c>
      <c r="W8" s="1149">
        <v>14898209479</v>
      </c>
      <c r="X8" s="1149">
        <v>14499700950</v>
      </c>
      <c r="Y8" s="1149">
        <v>14088044900</v>
      </c>
      <c r="Z8" s="1149">
        <v>15088679800</v>
      </c>
      <c r="AA8" s="1149">
        <v>15721015950</v>
      </c>
      <c r="AB8" s="861">
        <v>17436939450</v>
      </c>
      <c r="AC8" s="1207">
        <v>18675750600</v>
      </c>
      <c r="AD8" s="1154">
        <v>19970688700</v>
      </c>
      <c r="AE8" s="1196">
        <f t="shared" si="5"/>
        <v>6.9337941362314082</v>
      </c>
      <c r="AF8" s="1196">
        <f>IF(ISERROR(((AD8/T8)^(1/10)-1)*100),"-",((AD8/T8)^(1/10)-1)*100)</f>
        <v>4.935563809977217</v>
      </c>
      <c r="AG8" s="1208"/>
      <c r="AH8" s="1132"/>
      <c r="AI8" s="1132"/>
      <c r="AK8" s="1210"/>
    </row>
    <row r="9" spans="1:37" ht="15.95" customHeight="1">
      <c r="A9" s="1131"/>
      <c r="B9" s="1204" t="s">
        <v>815</v>
      </c>
      <c r="C9" s="1204"/>
      <c r="D9" s="1065">
        <f t="shared" si="1"/>
        <v>18168</v>
      </c>
      <c r="E9" s="1065">
        <f t="shared" si="1"/>
        <v>17986</v>
      </c>
      <c r="F9" s="1065">
        <f t="shared" si="2"/>
        <v>20192</v>
      </c>
      <c r="G9" s="1065">
        <f t="shared" si="2"/>
        <v>22313</v>
      </c>
      <c r="H9" s="1065">
        <f t="shared" si="2"/>
        <v>21758</v>
      </c>
      <c r="I9" s="1065">
        <f t="shared" si="2"/>
        <v>21573</v>
      </c>
      <c r="J9" s="1065">
        <f t="shared" si="2"/>
        <v>23076</v>
      </c>
      <c r="K9" s="1065">
        <f t="shared" si="2"/>
        <v>23985</v>
      </c>
      <c r="L9" s="1065">
        <f t="shared" si="2"/>
        <v>26501</v>
      </c>
      <c r="M9" s="1065">
        <f t="shared" si="2"/>
        <v>30511</v>
      </c>
      <c r="N9" s="1065">
        <f t="shared" si="2"/>
        <v>34856</v>
      </c>
      <c r="O9" s="1205">
        <f t="shared" si="3"/>
        <v>14.238264621409623</v>
      </c>
      <c r="P9" s="1205">
        <f t="shared" si="4"/>
        <v>6.7325300847351777</v>
      </c>
      <c r="Q9" s="1131"/>
      <c r="R9" s="887"/>
      <c r="S9" s="1206" t="s">
        <v>816</v>
      </c>
      <c r="T9" s="1149">
        <v>18168281000</v>
      </c>
      <c r="U9" s="1149">
        <v>17986120770</v>
      </c>
      <c r="V9" s="1149">
        <v>20192045814</v>
      </c>
      <c r="W9" s="1149">
        <v>22313768400</v>
      </c>
      <c r="X9" s="1149">
        <v>21758666200</v>
      </c>
      <c r="Y9" s="1149">
        <v>21573894900</v>
      </c>
      <c r="Z9" s="1149">
        <v>23076066600</v>
      </c>
      <c r="AA9" s="1149">
        <v>23985428200</v>
      </c>
      <c r="AB9" s="861">
        <v>26501570400</v>
      </c>
      <c r="AC9" s="1207">
        <v>30511972600</v>
      </c>
      <c r="AD9" s="1154">
        <v>34856348000</v>
      </c>
      <c r="AE9" s="1196">
        <f t="shared" si="5"/>
        <v>14.238264621409623</v>
      </c>
      <c r="AF9" s="1196">
        <f>IF(ISERROR(((AD9/T9)^(1/10)-1)*100),"-",((AD9/T9)^(1/10)-1)*100)</f>
        <v>6.7325300847351777</v>
      </c>
      <c r="AG9" s="1208"/>
      <c r="AH9" s="1132"/>
      <c r="AI9" s="1132"/>
    </row>
    <row r="10" spans="1:37" ht="15.95" customHeight="1">
      <c r="A10" s="1131"/>
      <c r="B10" s="1209" t="s">
        <v>817</v>
      </c>
      <c r="C10" s="1209"/>
      <c r="D10" s="1066">
        <f t="shared" ref="D10:N10" si="6">IF(OR(T10="-",T10=""),"-",ROUNDDOWN(T10,-6)/1000000)</f>
        <v>183</v>
      </c>
      <c r="E10" s="1066">
        <f t="shared" si="6"/>
        <v>704</v>
      </c>
      <c r="F10" s="1066">
        <f t="shared" si="6"/>
        <v>730</v>
      </c>
      <c r="G10" s="1066">
        <f t="shared" si="6"/>
        <v>784</v>
      </c>
      <c r="H10" s="1066">
        <f t="shared" si="6"/>
        <v>798</v>
      </c>
      <c r="I10" s="1066">
        <f t="shared" si="6"/>
        <v>863</v>
      </c>
      <c r="J10" s="1066">
        <f t="shared" si="6"/>
        <v>888</v>
      </c>
      <c r="K10" s="1066">
        <f t="shared" si="6"/>
        <v>1014</v>
      </c>
      <c r="L10" s="1066">
        <f t="shared" si="6"/>
        <v>1098</v>
      </c>
      <c r="M10" s="1066">
        <f t="shared" si="6"/>
        <v>1172</v>
      </c>
      <c r="N10" s="1066">
        <f t="shared" si="6"/>
        <v>1297</v>
      </c>
      <c r="O10" s="1125">
        <f>AE10</f>
        <v>10.673382963284329</v>
      </c>
      <c r="P10" s="1125">
        <f>AF10</f>
        <v>7.0185571961001836</v>
      </c>
      <c r="Q10" s="1131"/>
      <c r="R10" s="887"/>
      <c r="S10" s="1206" t="s">
        <v>818</v>
      </c>
      <c r="T10" s="1149">
        <v>183995500</v>
      </c>
      <c r="U10" s="1149">
        <v>704476610</v>
      </c>
      <c r="V10" s="1149">
        <v>730507500</v>
      </c>
      <c r="W10" s="1149">
        <v>784873500</v>
      </c>
      <c r="X10" s="1149">
        <v>798354028</v>
      </c>
      <c r="Y10" s="1149">
        <v>863332000</v>
      </c>
      <c r="Z10" s="1149">
        <v>888782300</v>
      </c>
      <c r="AA10" s="1149">
        <v>1014534500</v>
      </c>
      <c r="AB10" s="861">
        <v>1098901000</v>
      </c>
      <c r="AC10" s="1207">
        <v>1172074500</v>
      </c>
      <c r="AD10" s="1154">
        <v>1297174500</v>
      </c>
      <c r="AE10" s="1196">
        <f>IF(ISERROR((AD10/AC10-1)*100),"-",(AD10/AC10-1)*100)</f>
        <v>10.673382963284329</v>
      </c>
      <c r="AF10" s="1196">
        <f>IF(ISERROR(((AD10/U10)^(1/9)-1)*100),"-",((AD10/U10)^(1/9)-1)*100)</f>
        <v>7.0185571961001836</v>
      </c>
      <c r="AG10" s="1208" t="s">
        <v>1178</v>
      </c>
      <c r="AH10" s="1132"/>
      <c r="AI10" s="1132"/>
    </row>
    <row r="11" spans="1:37" ht="15.95" customHeight="1">
      <c r="A11" s="1131"/>
      <c r="B11" s="1204" t="s">
        <v>819</v>
      </c>
      <c r="C11" s="1204"/>
      <c r="D11" s="1065">
        <f t="shared" si="1"/>
        <v>1479</v>
      </c>
      <c r="E11" s="1065">
        <f t="shared" si="1"/>
        <v>1494</v>
      </c>
      <c r="F11" s="1065">
        <f t="shared" si="2"/>
        <v>1907</v>
      </c>
      <c r="G11" s="1065">
        <f t="shared" si="2"/>
        <v>2408</v>
      </c>
      <c r="H11" s="1065">
        <f t="shared" si="2"/>
        <v>2232</v>
      </c>
      <c r="I11" s="1065">
        <f t="shared" si="2"/>
        <v>1456</v>
      </c>
      <c r="J11" s="1065">
        <f t="shared" si="2"/>
        <v>1491</v>
      </c>
      <c r="K11" s="1065">
        <f t="shared" si="2"/>
        <v>2659</v>
      </c>
      <c r="L11" s="1065">
        <f t="shared" si="2"/>
        <v>2530</v>
      </c>
      <c r="M11" s="1065">
        <f t="shared" si="2"/>
        <v>2375</v>
      </c>
      <c r="N11" s="1065">
        <f t="shared" si="2"/>
        <v>2335</v>
      </c>
      <c r="O11" s="1205">
        <f t="shared" si="3"/>
        <v>-1.6614961584474175</v>
      </c>
      <c r="P11" s="1205">
        <f t="shared" si="4"/>
        <v>4.6735195978839128</v>
      </c>
      <c r="Q11" s="1131"/>
      <c r="R11" s="887"/>
      <c r="S11" s="1206" t="s">
        <v>820</v>
      </c>
      <c r="T11" s="1149">
        <v>1479307951</v>
      </c>
      <c r="U11" s="1149">
        <v>1494748372</v>
      </c>
      <c r="V11" s="1149">
        <v>1907377749</v>
      </c>
      <c r="W11" s="1149">
        <v>2408639885</v>
      </c>
      <c r="X11" s="1149">
        <v>2232996304</v>
      </c>
      <c r="Y11" s="1149">
        <v>1456993222</v>
      </c>
      <c r="Z11" s="1149">
        <v>1491812493</v>
      </c>
      <c r="AA11" s="1149">
        <v>2659016672</v>
      </c>
      <c r="AB11" s="861">
        <v>2530079965</v>
      </c>
      <c r="AC11" s="1207">
        <v>2375216867</v>
      </c>
      <c r="AD11" s="1154">
        <v>2335752730</v>
      </c>
      <c r="AE11" s="1196">
        <f t="shared" si="5"/>
        <v>-1.6614961584474175</v>
      </c>
      <c r="AF11" s="1196">
        <f>IF(ISERROR(((AD11/T11)^(1/10)-1)*100),"-",((AD11/T11)^(1/10)-1)*100)</f>
        <v>4.6735195978839128</v>
      </c>
      <c r="AH11" s="1132"/>
      <c r="AI11" s="1211" t="s">
        <v>1653</v>
      </c>
    </row>
    <row r="12" spans="1:37" ht="15.95" customHeight="1">
      <c r="A12" s="1131"/>
      <c r="B12" s="1209" t="s">
        <v>821</v>
      </c>
      <c r="C12" s="1209"/>
      <c r="D12" s="1066">
        <f t="shared" si="1"/>
        <v>7647</v>
      </c>
      <c r="E12" s="1066">
        <f t="shared" si="1"/>
        <v>8120</v>
      </c>
      <c r="F12" s="1066">
        <f t="shared" si="2"/>
        <v>8679</v>
      </c>
      <c r="G12" s="1066">
        <f t="shared" si="2"/>
        <v>9009</v>
      </c>
      <c r="H12" s="1066">
        <f t="shared" si="2"/>
        <v>9013</v>
      </c>
      <c r="I12" s="1066">
        <f t="shared" si="2"/>
        <v>8914</v>
      </c>
      <c r="J12" s="1066">
        <f t="shared" si="2"/>
        <v>9113</v>
      </c>
      <c r="K12" s="1066">
        <f t="shared" si="2"/>
        <v>9354</v>
      </c>
      <c r="L12" s="1066">
        <f t="shared" si="2"/>
        <v>9997</v>
      </c>
      <c r="M12" s="1066">
        <f t="shared" si="2"/>
        <v>10691</v>
      </c>
      <c r="N12" s="1066">
        <f t="shared" si="2"/>
        <v>11364</v>
      </c>
      <c r="O12" s="1125">
        <f t="shared" si="3"/>
        <v>6.2932289214543635</v>
      </c>
      <c r="P12" s="1125">
        <f t="shared" si="4"/>
        <v>4.0411168047655988</v>
      </c>
      <c r="Q12" s="1131"/>
      <c r="S12" s="1212" t="s">
        <v>822</v>
      </c>
      <c r="T12" s="825">
        <v>7647240637</v>
      </c>
      <c r="U12" s="825">
        <v>8120209483</v>
      </c>
      <c r="V12" s="825">
        <v>8679135492</v>
      </c>
      <c r="W12" s="825">
        <v>9009806437</v>
      </c>
      <c r="X12" s="825">
        <v>9013545201</v>
      </c>
      <c r="Y12" s="825">
        <v>8914650111</v>
      </c>
      <c r="Z12" s="825">
        <v>9113992328</v>
      </c>
      <c r="AA12" s="825">
        <v>9354403060</v>
      </c>
      <c r="AB12" s="877">
        <v>9997754384</v>
      </c>
      <c r="AC12" s="1213">
        <v>10691760214</v>
      </c>
      <c r="AD12" s="826">
        <v>11364617160</v>
      </c>
      <c r="AE12" s="1214">
        <f t="shared" si="5"/>
        <v>6.2932289214543635</v>
      </c>
      <c r="AF12" s="1214">
        <f>IF(ISERROR(((AD12/T12)^(1/10)-1)*100),"-",((AD12/T12)^(1/10)-1)*100)</f>
        <v>4.0411168047655988</v>
      </c>
      <c r="AH12" s="1132"/>
      <c r="AI12" s="1255" t="s">
        <v>1654</v>
      </c>
    </row>
    <row r="13" spans="1:37" ht="15.95" customHeight="1" thickBot="1">
      <c r="A13" s="1131"/>
      <c r="B13" s="1291" t="s">
        <v>823</v>
      </c>
      <c r="C13" s="1291"/>
      <c r="D13" s="1076">
        <f t="shared" si="1"/>
        <v>52594</v>
      </c>
      <c r="E13" s="1076">
        <f t="shared" si="1"/>
        <v>52811</v>
      </c>
      <c r="F13" s="1076">
        <f t="shared" si="2"/>
        <v>59521</v>
      </c>
      <c r="G13" s="1076">
        <f t="shared" si="2"/>
        <v>64684</v>
      </c>
      <c r="H13" s="1076">
        <f t="shared" si="2"/>
        <v>63350</v>
      </c>
      <c r="I13" s="1076">
        <f t="shared" si="2"/>
        <v>61048</v>
      </c>
      <c r="J13" s="1076">
        <f t="shared" si="2"/>
        <v>64858</v>
      </c>
      <c r="K13" s="1076">
        <f t="shared" si="2"/>
        <v>69304</v>
      </c>
      <c r="L13" s="1076">
        <f t="shared" si="2"/>
        <v>75066</v>
      </c>
      <c r="M13" s="1076">
        <f t="shared" si="2"/>
        <v>81843</v>
      </c>
      <c r="N13" s="1076">
        <f t="shared" si="2"/>
        <v>89702</v>
      </c>
      <c r="O13" s="1292">
        <f t="shared" si="3"/>
        <v>9.6022628880740424</v>
      </c>
      <c r="P13" s="1292">
        <f t="shared" si="4"/>
        <v>5.4838885455406716</v>
      </c>
      <c r="Q13" s="1131"/>
      <c r="S13" s="1215" t="s">
        <v>824</v>
      </c>
      <c r="T13" s="819">
        <v>52594819694</v>
      </c>
      <c r="U13" s="819">
        <v>52811377999</v>
      </c>
      <c r="V13" s="819">
        <v>59521207817</v>
      </c>
      <c r="W13" s="819">
        <v>64684784674</v>
      </c>
      <c r="X13" s="819">
        <v>63350980497</v>
      </c>
      <c r="Y13" s="819">
        <v>61048352033</v>
      </c>
      <c r="Z13" s="819">
        <v>64858034171</v>
      </c>
      <c r="AA13" s="819">
        <v>69304951382</v>
      </c>
      <c r="AB13" s="1216">
        <v>75066827099</v>
      </c>
      <c r="AC13" s="1217">
        <v>81843607081</v>
      </c>
      <c r="AD13" s="832">
        <v>89702445390</v>
      </c>
      <c r="AE13" s="1218">
        <f t="shared" si="5"/>
        <v>9.6022628880740424</v>
      </c>
      <c r="AF13" s="1218">
        <f>IF(ISERROR(((AD13/T13)^(1/10)-1)*100),"-",((AD13/T13)^(1/10)-1)*100)</f>
        <v>5.4838885455406716</v>
      </c>
      <c r="AH13" s="1132"/>
      <c r="AI13" s="1132"/>
    </row>
    <row r="14" spans="1:37" ht="12" customHeight="1" outlineLevel="1">
      <c r="A14" s="1131"/>
      <c r="B14" s="1146"/>
      <c r="C14" s="1131"/>
      <c r="D14" s="1220"/>
      <c r="E14" s="1220"/>
      <c r="F14" s="1220"/>
      <c r="G14" s="1220"/>
      <c r="H14" s="1220"/>
      <c r="I14" s="1220"/>
      <c r="J14" s="1220"/>
      <c r="K14" s="1220"/>
      <c r="L14" s="1220"/>
      <c r="M14" s="1220"/>
      <c r="N14" s="1220"/>
      <c r="O14" s="1221"/>
      <c r="P14" s="881"/>
      <c r="Q14" s="1131"/>
      <c r="T14" s="1222"/>
      <c r="U14" s="1222"/>
      <c r="V14" s="1222"/>
      <c r="W14" s="1222"/>
      <c r="X14" s="1222"/>
      <c r="Y14" s="1222"/>
      <c r="Z14" s="1222"/>
      <c r="AA14" s="1222"/>
      <c r="AB14" s="1222"/>
      <c r="AC14" s="1222"/>
      <c r="AD14" s="1222"/>
      <c r="AE14" s="1223"/>
      <c r="AF14" s="1223"/>
      <c r="AH14" s="1132"/>
    </row>
    <row r="15" spans="1:37" ht="20.25" customHeight="1" outlineLevel="1" thickBot="1">
      <c r="A15" s="1131"/>
      <c r="B15" s="1219"/>
      <c r="C15" s="1131"/>
      <c r="D15" s="1220"/>
      <c r="E15" s="1220"/>
      <c r="F15" s="1220"/>
      <c r="G15" s="1220"/>
      <c r="H15" s="1220"/>
      <c r="I15" s="1220"/>
      <c r="J15" s="1220"/>
      <c r="K15" s="1220"/>
      <c r="L15" s="1220"/>
      <c r="M15" s="1220"/>
      <c r="N15" s="1220"/>
      <c r="O15" s="1221"/>
      <c r="P15" s="881"/>
      <c r="Q15" s="1131"/>
      <c r="S15" s="1133" t="s">
        <v>801</v>
      </c>
      <c r="T15" s="1139"/>
      <c r="U15" s="1139"/>
      <c r="V15" s="1139"/>
      <c r="W15" s="1139"/>
      <c r="X15" s="1139"/>
      <c r="Y15" s="1139"/>
      <c r="Z15" s="1139"/>
      <c r="AA15" s="1139"/>
      <c r="AB15" s="1139"/>
      <c r="AD15" s="1139"/>
      <c r="AE15" s="1139"/>
      <c r="AF15" s="1139"/>
    </row>
    <row r="16" spans="1:37" ht="25.5" customHeight="1" outlineLevel="1">
      <c r="A16" s="1131"/>
      <c r="B16" s="1132"/>
      <c r="C16" s="1132"/>
      <c r="D16" s="1163"/>
      <c r="E16" s="1163"/>
      <c r="F16" s="1163"/>
      <c r="G16" s="1163"/>
      <c r="H16" s="1163"/>
      <c r="I16" s="1163"/>
      <c r="J16" s="1163"/>
      <c r="K16" s="1163"/>
      <c r="L16" s="1163"/>
      <c r="M16" s="1163"/>
      <c r="N16" s="1163"/>
      <c r="O16" s="1164"/>
      <c r="P16" s="2061"/>
      <c r="Q16" s="1131"/>
      <c r="S16" s="2474"/>
      <c r="T16" s="2459" t="str">
        <f>T5</f>
        <v>2016.3</v>
      </c>
      <c r="U16" s="2459" t="str">
        <f t="shared" ref="U16:AB16" si="7">U5</f>
        <v>2017.3</v>
      </c>
      <c r="V16" s="2459" t="str">
        <f t="shared" si="7"/>
        <v>2018.3</v>
      </c>
      <c r="W16" s="2459" t="str">
        <f t="shared" si="7"/>
        <v>2019.3</v>
      </c>
      <c r="X16" s="2459" t="str">
        <f t="shared" si="7"/>
        <v>2020.3</v>
      </c>
      <c r="Y16" s="2459" t="str">
        <f t="shared" si="7"/>
        <v>2021.3</v>
      </c>
      <c r="Z16" s="2459" t="str">
        <f t="shared" si="7"/>
        <v>2022.3</v>
      </c>
      <c r="AA16" s="2459" t="str">
        <f t="shared" si="7"/>
        <v>2023.3</v>
      </c>
      <c r="AB16" s="2459" t="str">
        <f t="shared" si="7"/>
        <v>2024.3</v>
      </c>
      <c r="AC16" s="2481" t="str">
        <f>AC5</f>
        <v>2025.3</v>
      </c>
      <c r="AD16" s="2463" t="str">
        <f>AD5</f>
        <v>2026.3</v>
      </c>
      <c r="AE16" s="1169" t="s">
        <v>536</v>
      </c>
      <c r="AF16" s="1169" t="s">
        <v>802</v>
      </c>
    </row>
    <row r="17" spans="1:32" ht="16.5" customHeight="1" outlineLevel="1" thickBot="1">
      <c r="A17" s="1131"/>
      <c r="B17" s="1132"/>
      <c r="C17" s="1132"/>
      <c r="D17" s="1163"/>
      <c r="E17" s="1163"/>
      <c r="F17" s="1163"/>
      <c r="G17" s="1163"/>
      <c r="H17" s="1163"/>
      <c r="I17" s="1163"/>
      <c r="J17" s="1163"/>
      <c r="K17" s="1163"/>
      <c r="L17" s="1163"/>
      <c r="M17" s="1163"/>
      <c r="N17" s="1163"/>
      <c r="O17" s="1164"/>
      <c r="P17" s="1164"/>
      <c r="Q17" s="1131"/>
      <c r="S17" s="2475"/>
      <c r="T17" s="2460"/>
      <c r="U17" s="2460"/>
      <c r="V17" s="2460"/>
      <c r="W17" s="2460"/>
      <c r="X17" s="2460"/>
      <c r="Y17" s="2460"/>
      <c r="Z17" s="2460"/>
      <c r="AA17" s="2460"/>
      <c r="AB17" s="2460"/>
      <c r="AC17" s="2482"/>
      <c r="AD17" s="2464"/>
      <c r="AE17" s="1172"/>
      <c r="AF17" s="1172"/>
    </row>
    <row r="18" spans="1:32" s="1132" customFormat="1" ht="16.5" customHeight="1" outlineLevel="1" thickTop="1">
      <c r="D18" s="1163"/>
      <c r="E18" s="1163"/>
      <c r="F18" s="1163"/>
      <c r="G18" s="1163"/>
      <c r="H18" s="1163"/>
      <c r="I18" s="1163"/>
      <c r="J18" s="1163"/>
      <c r="K18" s="1163"/>
      <c r="L18" s="1163"/>
      <c r="M18" s="1163"/>
      <c r="N18" s="1163"/>
      <c r="O18" s="1164"/>
      <c r="P18" s="1164"/>
      <c r="S18" s="1174" t="s">
        <v>803</v>
      </c>
      <c r="T18" s="1175"/>
      <c r="U18" s="1175"/>
      <c r="V18" s="1175"/>
      <c r="W18" s="1175"/>
      <c r="X18" s="1175"/>
      <c r="Y18" s="1176"/>
      <c r="Z18" s="1175"/>
      <c r="AA18" s="1175"/>
      <c r="AB18" s="1176"/>
      <c r="AC18" s="1177"/>
      <c r="AD18" s="1178"/>
      <c r="AE18" s="1179"/>
      <c r="AF18" s="1179"/>
    </row>
    <row r="19" spans="1:32" ht="16.5" customHeight="1" outlineLevel="1">
      <c r="A19" s="1131"/>
      <c r="B19" s="1132"/>
      <c r="C19" s="1132"/>
      <c r="D19" s="1163"/>
      <c r="E19" s="1163"/>
      <c r="F19" s="1163"/>
      <c r="G19" s="1163"/>
      <c r="H19" s="1163"/>
      <c r="I19" s="1163"/>
      <c r="J19" s="1163"/>
      <c r="K19" s="1163"/>
      <c r="L19" s="1163"/>
      <c r="M19" s="1163"/>
      <c r="N19" s="1163"/>
      <c r="O19" s="1164"/>
      <c r="P19" s="1164"/>
      <c r="Q19" s="1137"/>
      <c r="R19" s="1170"/>
      <c r="S19" s="1206" t="s">
        <v>825</v>
      </c>
      <c r="T19" s="1187">
        <f>IF(T7="-","-",ROUNDDOWN(T7,-6))</f>
        <v>12780000000</v>
      </c>
      <c r="U19" s="1187">
        <f t="shared" ref="U19:AC19" si="8">IF(U7="-","-",ROUNDDOWN(U7,-6))</f>
        <v>12432000000</v>
      </c>
      <c r="V19" s="1187">
        <f t="shared" si="8"/>
        <v>14153000000</v>
      </c>
      <c r="W19" s="1187">
        <f t="shared" si="8"/>
        <v>15269000000</v>
      </c>
      <c r="X19" s="1187">
        <f t="shared" si="8"/>
        <v>15047000000</v>
      </c>
      <c r="Y19" s="1187">
        <f t="shared" si="8"/>
        <v>14151000000</v>
      </c>
      <c r="Z19" s="1187">
        <f t="shared" si="8"/>
        <v>15198000000</v>
      </c>
      <c r="AA19" s="1187">
        <f t="shared" si="8"/>
        <v>16570000000</v>
      </c>
      <c r="AB19" s="1187">
        <f>IF(AB7="-","-",ROUNDDOWN(AB7,-6))</f>
        <v>17501000000</v>
      </c>
      <c r="AC19" s="1187">
        <f t="shared" si="8"/>
        <v>18416000000</v>
      </c>
      <c r="AD19" s="1188">
        <f>IF(AD7="-","-",ROUNDDOWN(AD7,-6))</f>
        <v>19877000000</v>
      </c>
      <c r="AE19" s="1189"/>
      <c r="AF19" s="1189"/>
    </row>
    <row r="20" spans="1:32" ht="16.5" customHeight="1" outlineLevel="1">
      <c r="A20" s="1131"/>
      <c r="B20" s="1132"/>
      <c r="C20" s="1132"/>
      <c r="D20" s="1163"/>
      <c r="E20" s="1163"/>
      <c r="F20" s="1163"/>
      <c r="G20" s="1163"/>
      <c r="H20" s="1163"/>
      <c r="I20" s="1163"/>
      <c r="J20" s="1163"/>
      <c r="K20" s="1163"/>
      <c r="L20" s="1163"/>
      <c r="M20" s="1163"/>
      <c r="N20" s="1163"/>
      <c r="O20" s="1164"/>
      <c r="P20" s="1164"/>
      <c r="Q20" s="1173"/>
      <c r="R20" s="888"/>
      <c r="S20" s="1206" t="s">
        <v>826</v>
      </c>
      <c r="T20" s="1187">
        <f>IF(T8="-","-",ROUNDDOWN(T8,-6))</f>
        <v>12335000000</v>
      </c>
      <c r="U20" s="1187">
        <f t="shared" ref="U20:AD20" si="9">IF(U8="-","-",ROUNDDOWN(U8,-6))</f>
        <v>12073000000</v>
      </c>
      <c r="V20" s="1187">
        <f t="shared" si="9"/>
        <v>13858000000</v>
      </c>
      <c r="W20" s="1187">
        <f t="shared" si="9"/>
        <v>14898000000</v>
      </c>
      <c r="X20" s="1187">
        <f t="shared" si="9"/>
        <v>14499000000</v>
      </c>
      <c r="Y20" s="1187">
        <f t="shared" si="9"/>
        <v>14088000000</v>
      </c>
      <c r="Z20" s="1187">
        <f t="shared" si="9"/>
        <v>15088000000</v>
      </c>
      <c r="AA20" s="1187">
        <f t="shared" si="9"/>
        <v>15721000000</v>
      </c>
      <c r="AB20" s="1187">
        <f t="shared" si="9"/>
        <v>17436000000</v>
      </c>
      <c r="AC20" s="1187">
        <f t="shared" si="9"/>
        <v>18675000000</v>
      </c>
      <c r="AD20" s="1188">
        <f t="shared" si="9"/>
        <v>19970000000</v>
      </c>
      <c r="AE20" s="1189"/>
      <c r="AF20" s="1189"/>
    </row>
    <row r="21" spans="1:32" ht="16.5" customHeight="1" outlineLevel="1">
      <c r="A21" s="1131"/>
      <c r="B21" s="1132"/>
      <c r="C21" s="1132"/>
      <c r="D21" s="1163"/>
      <c r="E21" s="1163"/>
      <c r="F21" s="1163"/>
      <c r="G21" s="1163"/>
      <c r="H21" s="1163"/>
      <c r="I21" s="1163"/>
      <c r="J21" s="1163"/>
      <c r="K21" s="1163"/>
      <c r="L21" s="1163"/>
      <c r="M21" s="1163"/>
      <c r="N21" s="1163"/>
      <c r="O21" s="1164"/>
      <c r="P21" s="1164"/>
      <c r="Q21" s="1173"/>
      <c r="R21" s="888"/>
      <c r="S21" s="1206" t="s">
        <v>1128</v>
      </c>
      <c r="T21" s="1187">
        <f>IF(T9="-","-",ROUNDDOWN(T9,-6))</f>
        <v>18168000000</v>
      </c>
      <c r="U21" s="1187">
        <f t="shared" ref="T21:AD22" si="10">IF(U9="-","-",ROUNDDOWN(U9,-6))</f>
        <v>17986000000</v>
      </c>
      <c r="V21" s="1187">
        <f t="shared" si="10"/>
        <v>20192000000</v>
      </c>
      <c r="W21" s="1187">
        <f t="shared" si="10"/>
        <v>22313000000</v>
      </c>
      <c r="X21" s="1187">
        <f t="shared" si="10"/>
        <v>21758000000</v>
      </c>
      <c r="Y21" s="1187">
        <f t="shared" si="10"/>
        <v>21573000000</v>
      </c>
      <c r="Z21" s="1187">
        <f t="shared" si="10"/>
        <v>23076000000</v>
      </c>
      <c r="AA21" s="1187">
        <f t="shared" si="10"/>
        <v>23985000000</v>
      </c>
      <c r="AB21" s="1187">
        <f t="shared" si="10"/>
        <v>26501000000</v>
      </c>
      <c r="AC21" s="1187">
        <f t="shared" si="10"/>
        <v>30511000000</v>
      </c>
      <c r="AD21" s="1188">
        <f t="shared" si="10"/>
        <v>34856000000</v>
      </c>
      <c r="AE21" s="1189"/>
      <c r="AF21" s="1189"/>
    </row>
    <row r="22" spans="1:32" ht="16.5" customHeight="1" outlineLevel="1">
      <c r="A22" s="1131"/>
      <c r="B22" s="1132"/>
      <c r="C22" s="1132"/>
      <c r="D22" s="1163"/>
      <c r="E22" s="1163"/>
      <c r="F22" s="1163"/>
      <c r="G22" s="1163"/>
      <c r="H22" s="1163"/>
      <c r="I22" s="1163"/>
      <c r="J22" s="1163"/>
      <c r="K22" s="1163"/>
      <c r="L22" s="1163"/>
      <c r="M22" s="1163"/>
      <c r="N22" s="1163"/>
      <c r="O22" s="1164"/>
      <c r="P22" s="1164"/>
      <c r="Q22" s="1173"/>
      <c r="R22" s="888"/>
      <c r="S22" s="1206" t="s">
        <v>827</v>
      </c>
      <c r="T22" s="1187">
        <f t="shared" si="10"/>
        <v>183000000</v>
      </c>
      <c r="U22" s="1187">
        <f t="shared" si="10"/>
        <v>704000000</v>
      </c>
      <c r="V22" s="1187">
        <f t="shared" si="10"/>
        <v>730000000</v>
      </c>
      <c r="W22" s="1187">
        <f t="shared" si="10"/>
        <v>784000000</v>
      </c>
      <c r="X22" s="1187">
        <f t="shared" si="10"/>
        <v>798000000</v>
      </c>
      <c r="Y22" s="1187">
        <f t="shared" si="10"/>
        <v>863000000</v>
      </c>
      <c r="Z22" s="1187">
        <f t="shared" si="10"/>
        <v>888000000</v>
      </c>
      <c r="AA22" s="1187">
        <f t="shared" si="10"/>
        <v>1014000000</v>
      </c>
      <c r="AB22" s="1187">
        <f t="shared" si="10"/>
        <v>1098000000</v>
      </c>
      <c r="AC22" s="1187">
        <f t="shared" si="10"/>
        <v>1172000000</v>
      </c>
      <c r="AD22" s="1188">
        <f t="shared" si="10"/>
        <v>1297000000</v>
      </c>
      <c r="AE22" s="1189"/>
      <c r="AF22" s="1189"/>
    </row>
    <row r="23" spans="1:32" ht="16.5" customHeight="1" outlineLevel="1">
      <c r="A23" s="1131"/>
      <c r="B23" s="1132"/>
      <c r="C23" s="1132"/>
      <c r="D23" s="1163"/>
      <c r="E23" s="1163"/>
      <c r="F23" s="1163"/>
      <c r="G23" s="1163"/>
      <c r="H23" s="1163"/>
      <c r="I23" s="1163"/>
      <c r="J23" s="1163"/>
      <c r="K23" s="1163"/>
      <c r="L23" s="1163"/>
      <c r="M23" s="1163"/>
      <c r="N23" s="1163"/>
      <c r="O23" s="1164"/>
      <c r="P23" s="1164"/>
      <c r="Q23" s="1131"/>
      <c r="S23" s="1206" t="s">
        <v>828</v>
      </c>
      <c r="T23" s="1187">
        <f>IF(T11="-","-",ROUNDDOWN(T11,-6))</f>
        <v>1479000000</v>
      </c>
      <c r="U23" s="1187">
        <f t="shared" ref="U23:AD23" si="11">IF(U11="-","-",ROUNDDOWN(U11,-6))</f>
        <v>1494000000</v>
      </c>
      <c r="V23" s="1187">
        <f t="shared" si="11"/>
        <v>1907000000</v>
      </c>
      <c r="W23" s="1187">
        <f t="shared" si="11"/>
        <v>2408000000</v>
      </c>
      <c r="X23" s="1187">
        <f t="shared" si="11"/>
        <v>2232000000</v>
      </c>
      <c r="Y23" s="1187">
        <f t="shared" si="11"/>
        <v>1456000000</v>
      </c>
      <c r="Z23" s="1187">
        <f t="shared" si="11"/>
        <v>1491000000</v>
      </c>
      <c r="AA23" s="1187">
        <f t="shared" si="11"/>
        <v>2659000000</v>
      </c>
      <c r="AB23" s="1187">
        <f t="shared" si="11"/>
        <v>2530000000</v>
      </c>
      <c r="AC23" s="1187">
        <f t="shared" si="11"/>
        <v>2375000000</v>
      </c>
      <c r="AD23" s="1188">
        <f t="shared" si="11"/>
        <v>2335000000</v>
      </c>
      <c r="AE23" s="1189"/>
      <c r="AF23" s="1189"/>
    </row>
    <row r="24" spans="1:32" ht="16.5" customHeight="1" outlineLevel="1">
      <c r="A24" s="1131"/>
      <c r="B24" s="1132"/>
      <c r="C24" s="1132"/>
      <c r="D24" s="1163"/>
      <c r="E24" s="1163"/>
      <c r="F24" s="1163"/>
      <c r="G24" s="1163"/>
      <c r="H24" s="1163"/>
      <c r="I24" s="1163"/>
      <c r="J24" s="1163"/>
      <c r="K24" s="1163"/>
      <c r="L24" s="1163"/>
      <c r="M24" s="1163"/>
      <c r="N24" s="1163"/>
      <c r="O24" s="1164"/>
      <c r="P24" s="1164"/>
      <c r="Q24" s="1131"/>
      <c r="S24" s="1212" t="s">
        <v>822</v>
      </c>
      <c r="T24" s="1224">
        <f t="shared" ref="T24:AD24" si="12">IF(T12="-","-",ROUNDDOWN(T12,-6))</f>
        <v>7647000000</v>
      </c>
      <c r="U24" s="1224">
        <f t="shared" si="12"/>
        <v>8120000000</v>
      </c>
      <c r="V24" s="1224">
        <f t="shared" si="12"/>
        <v>8679000000</v>
      </c>
      <c r="W24" s="1224">
        <f t="shared" si="12"/>
        <v>9009000000</v>
      </c>
      <c r="X24" s="1224">
        <f t="shared" si="12"/>
        <v>9013000000</v>
      </c>
      <c r="Y24" s="1224">
        <f t="shared" si="12"/>
        <v>8914000000</v>
      </c>
      <c r="Z24" s="1224">
        <f t="shared" si="12"/>
        <v>9113000000</v>
      </c>
      <c r="AA24" s="1224">
        <f t="shared" si="12"/>
        <v>9354000000</v>
      </c>
      <c r="AB24" s="1224">
        <f t="shared" si="12"/>
        <v>9997000000</v>
      </c>
      <c r="AC24" s="1224">
        <f t="shared" si="12"/>
        <v>10691000000</v>
      </c>
      <c r="AD24" s="1225">
        <f t="shared" si="12"/>
        <v>11364000000</v>
      </c>
      <c r="AE24" s="1226"/>
      <c r="AF24" s="1226"/>
    </row>
    <row r="25" spans="1:32" ht="20.25" customHeight="1" outlineLevel="1" thickBot="1">
      <c r="A25" s="1131"/>
      <c r="B25" s="1132"/>
      <c r="C25" s="1132"/>
      <c r="D25" s="1163"/>
      <c r="E25" s="1163"/>
      <c r="F25" s="1163"/>
      <c r="G25" s="1163"/>
      <c r="H25" s="1163"/>
      <c r="I25" s="1163"/>
      <c r="J25" s="1163"/>
      <c r="K25" s="1163"/>
      <c r="L25" s="1163"/>
      <c r="M25" s="1163"/>
      <c r="N25" s="1163"/>
      <c r="O25" s="1164"/>
      <c r="P25" s="1164"/>
      <c r="Q25" s="1131"/>
      <c r="S25" s="1215" t="s">
        <v>824</v>
      </c>
      <c r="T25" s="1227">
        <f t="shared" ref="T25:AD25" si="13">IF(T13="-","-",ROUNDDOWN(T13,-6))</f>
        <v>52594000000</v>
      </c>
      <c r="U25" s="1227">
        <f t="shared" si="13"/>
        <v>52811000000</v>
      </c>
      <c r="V25" s="1227">
        <f t="shared" si="13"/>
        <v>59521000000</v>
      </c>
      <c r="W25" s="1227">
        <f t="shared" si="13"/>
        <v>64684000000</v>
      </c>
      <c r="X25" s="1227">
        <f t="shared" si="13"/>
        <v>63350000000</v>
      </c>
      <c r="Y25" s="1227">
        <f t="shared" si="13"/>
        <v>61048000000</v>
      </c>
      <c r="Z25" s="1227">
        <f t="shared" si="13"/>
        <v>64858000000</v>
      </c>
      <c r="AA25" s="1227">
        <f t="shared" si="13"/>
        <v>69304000000</v>
      </c>
      <c r="AB25" s="1227">
        <f t="shared" si="13"/>
        <v>75066000000</v>
      </c>
      <c r="AC25" s="1227">
        <f t="shared" si="13"/>
        <v>81843000000</v>
      </c>
      <c r="AD25" s="1228">
        <f t="shared" si="13"/>
        <v>89702000000</v>
      </c>
      <c r="AE25" s="1229"/>
      <c r="AF25" s="1229"/>
    </row>
    <row r="26" spans="1:32" ht="16.5" customHeight="1">
      <c r="A26" s="1131"/>
      <c r="B26" s="1132"/>
      <c r="C26" s="1132"/>
      <c r="D26" s="1163"/>
      <c r="E26" s="1163"/>
      <c r="F26" s="1163"/>
      <c r="G26" s="1163"/>
      <c r="H26" s="1163"/>
      <c r="I26" s="1163"/>
      <c r="J26" s="1163"/>
      <c r="K26" s="1163"/>
      <c r="L26" s="1163"/>
      <c r="M26" s="1163"/>
      <c r="N26" s="1163"/>
      <c r="O26" s="1164"/>
      <c r="P26" s="1164"/>
      <c r="Q26" s="1131"/>
      <c r="S26" s="1683"/>
      <c r="T26" s="1684"/>
      <c r="U26" s="1684"/>
      <c r="V26" s="1684"/>
      <c r="W26" s="1684"/>
      <c r="X26" s="1684"/>
      <c r="Y26" s="1684"/>
      <c r="Z26" s="1684"/>
      <c r="AA26" s="1684"/>
      <c r="AB26" s="1684"/>
      <c r="AC26" s="1684"/>
      <c r="AD26" s="1684"/>
      <c r="AE26" s="1685"/>
      <c r="AF26" s="1685"/>
    </row>
    <row r="27" spans="1:32" ht="15" customHeight="1" thickBot="1">
      <c r="A27" s="1131"/>
      <c r="B27" s="1131"/>
      <c r="C27" s="1131"/>
      <c r="D27" s="1131"/>
      <c r="E27" s="1131"/>
      <c r="F27" s="1135"/>
      <c r="G27" s="1131"/>
      <c r="H27" s="1135"/>
      <c r="I27" s="1135"/>
      <c r="J27" s="1131"/>
      <c r="K27" s="1135"/>
      <c r="L27" s="1135"/>
      <c r="M27" s="1135"/>
      <c r="N27" s="1135"/>
      <c r="O27" s="1230"/>
      <c r="P27" s="1816" t="s">
        <v>1716</v>
      </c>
      <c r="Q27" s="1131"/>
      <c r="S27" s="1667" t="s">
        <v>1084</v>
      </c>
      <c r="T27" s="1668"/>
      <c r="U27" s="1668"/>
      <c r="V27" s="1669"/>
      <c r="W27" s="1668"/>
      <c r="X27" s="1669"/>
      <c r="Y27" s="1669"/>
      <c r="Z27" s="1668"/>
      <c r="AA27" s="1669"/>
      <c r="AB27" s="1669"/>
      <c r="AC27" s="1669"/>
      <c r="AD27" s="1669"/>
      <c r="AE27" s="1670" t="s">
        <v>1085</v>
      </c>
      <c r="AF27" s="1232" t="s">
        <v>830</v>
      </c>
    </row>
    <row r="28" spans="1:32" ht="24" customHeight="1" thickBot="1">
      <c r="A28" s="1131"/>
      <c r="B28" s="2478"/>
      <c r="C28" s="2478"/>
      <c r="D28" s="2206" t="str">
        <f>T28</f>
        <v>2016.3</v>
      </c>
      <c r="E28" s="2206" t="str">
        <f t="shared" ref="E28:N28" si="14">U28</f>
        <v>2017.3</v>
      </c>
      <c r="F28" s="2206" t="str">
        <f t="shared" si="14"/>
        <v>2018.3</v>
      </c>
      <c r="G28" s="2206" t="str">
        <f t="shared" si="14"/>
        <v>2019.3</v>
      </c>
      <c r="H28" s="2206" t="str">
        <f t="shared" si="14"/>
        <v>2020.3</v>
      </c>
      <c r="I28" s="2206" t="str">
        <f t="shared" si="14"/>
        <v>2021.3</v>
      </c>
      <c r="J28" s="2206" t="str">
        <f t="shared" si="14"/>
        <v>2022.3</v>
      </c>
      <c r="K28" s="2206" t="str">
        <f t="shared" si="14"/>
        <v>2023.3</v>
      </c>
      <c r="L28" s="2206" t="str">
        <f t="shared" si="14"/>
        <v>2024.3</v>
      </c>
      <c r="M28" s="2206" t="str">
        <f t="shared" si="14"/>
        <v>2025.3</v>
      </c>
      <c r="N28" s="2306" t="str">
        <f t="shared" si="14"/>
        <v>2026.3</v>
      </c>
      <c r="O28" s="912" t="s">
        <v>638</v>
      </c>
      <c r="P28" s="913" t="s">
        <v>558</v>
      </c>
      <c r="Q28" s="1131"/>
      <c r="S28" s="1671"/>
      <c r="T28" s="1234" t="str">
        <f t="shared" ref="T28:AD28" si="15">T$5</f>
        <v>2016.3</v>
      </c>
      <c r="U28" s="1234" t="str">
        <f t="shared" si="15"/>
        <v>2017.3</v>
      </c>
      <c r="V28" s="1234" t="str">
        <f t="shared" si="15"/>
        <v>2018.3</v>
      </c>
      <c r="W28" s="1234" t="str">
        <f t="shared" si="15"/>
        <v>2019.3</v>
      </c>
      <c r="X28" s="1234" t="str">
        <f t="shared" si="15"/>
        <v>2020.3</v>
      </c>
      <c r="Y28" s="1234" t="str">
        <f t="shared" si="15"/>
        <v>2021.3</v>
      </c>
      <c r="Z28" s="1234" t="str">
        <f t="shared" si="15"/>
        <v>2022.3</v>
      </c>
      <c r="AA28" s="1234" t="str">
        <f t="shared" si="15"/>
        <v>2023.3</v>
      </c>
      <c r="AB28" s="1235" t="str">
        <f t="shared" si="15"/>
        <v>2024.3</v>
      </c>
      <c r="AC28" s="1234" t="str">
        <f t="shared" si="15"/>
        <v>2025.3</v>
      </c>
      <c r="AD28" s="1236" t="str">
        <f t="shared" si="15"/>
        <v>2026.3</v>
      </c>
      <c r="AE28" s="1672" t="s">
        <v>155</v>
      </c>
      <c r="AF28" s="1238" t="s">
        <v>537</v>
      </c>
    </row>
    <row r="29" spans="1:32" ht="18.95" customHeight="1" thickTop="1">
      <c r="A29" s="1131"/>
      <c r="B29" s="2479"/>
      <c r="C29" s="2479"/>
      <c r="D29" s="2207"/>
      <c r="E29" s="2207"/>
      <c r="F29" s="2207"/>
      <c r="G29" s="2207"/>
      <c r="H29" s="2207"/>
      <c r="I29" s="2207"/>
      <c r="J29" s="2207"/>
      <c r="K29" s="2207"/>
      <c r="L29" s="2207"/>
      <c r="M29" s="2207"/>
      <c r="N29" s="2450"/>
      <c r="O29" s="1200" t="s">
        <v>511</v>
      </c>
      <c r="P29" s="1201" t="s">
        <v>509</v>
      </c>
      <c r="Q29" s="1131"/>
      <c r="S29" s="1673" t="s">
        <v>1086</v>
      </c>
      <c r="T29" s="1674">
        <f>ROUNDDOWN(T41/T44,0)</f>
        <v>5381</v>
      </c>
      <c r="U29" s="1674">
        <f>ROUNDDOWN(U41/U44,0)</f>
        <v>5326</v>
      </c>
      <c r="V29" s="1674">
        <f t="shared" ref="V29:AB29" si="16">ROUNDDOWN(V41/V44,0)</f>
        <v>5278</v>
      </c>
      <c r="W29" s="1674">
        <f t="shared" si="16"/>
        <v>5243</v>
      </c>
      <c r="X29" s="1674">
        <f t="shared" si="16"/>
        <v>5178</v>
      </c>
      <c r="Y29" s="1674">
        <f t="shared" si="16"/>
        <v>5348</v>
      </c>
      <c r="Z29" s="1674">
        <f t="shared" si="16"/>
        <v>5593</v>
      </c>
      <c r="AA29" s="1674">
        <f t="shared" si="16"/>
        <v>5629</v>
      </c>
      <c r="AB29" s="1674">
        <f t="shared" si="16"/>
        <v>5702</v>
      </c>
      <c r="AC29" s="1686">
        <f>ROUNDDOWN(AC41/AC44,0)</f>
        <v>5782</v>
      </c>
      <c r="AD29" s="1689">
        <f>ROUNDDOWN(AD41/AD44,0)</f>
        <v>5696</v>
      </c>
      <c r="AE29" s="1675">
        <f>(AD29/AC29-1)*100</f>
        <v>-1.4873746108612917</v>
      </c>
      <c r="AF29" s="1241">
        <f>IF(ISERROR(((AD29/T29)^(1/10)-1)*100),"-",((AD29/T29)^(1/10)-1)*100)</f>
        <v>0.57052074194072766</v>
      </c>
    </row>
    <row r="30" spans="1:32" ht="15.95" customHeight="1">
      <c r="A30" s="1131"/>
      <c r="B30" s="1204" t="s">
        <v>811</v>
      </c>
      <c r="C30" s="1204"/>
      <c r="D30" s="1079">
        <f>T29</f>
        <v>5381</v>
      </c>
      <c r="E30" s="1079">
        <f t="shared" ref="E30:M32" si="17">U29</f>
        <v>5326</v>
      </c>
      <c r="F30" s="1079">
        <f t="shared" si="17"/>
        <v>5278</v>
      </c>
      <c r="G30" s="1079">
        <f t="shared" si="17"/>
        <v>5243</v>
      </c>
      <c r="H30" s="1079">
        <f t="shared" si="17"/>
        <v>5178</v>
      </c>
      <c r="I30" s="1079">
        <f t="shared" si="17"/>
        <v>5348</v>
      </c>
      <c r="J30" s="1079">
        <f t="shared" si="17"/>
        <v>5593</v>
      </c>
      <c r="K30" s="1079">
        <f t="shared" si="17"/>
        <v>5629</v>
      </c>
      <c r="L30" s="1079">
        <f t="shared" si="17"/>
        <v>5702</v>
      </c>
      <c r="M30" s="1079">
        <f t="shared" si="17"/>
        <v>5782</v>
      </c>
      <c r="N30" s="1079">
        <f>AD29</f>
        <v>5696</v>
      </c>
      <c r="O30" s="1716">
        <f t="shared" ref="N30:P32" si="18">AE29</f>
        <v>-1.4873746108612917</v>
      </c>
      <c r="P30" s="1716">
        <f t="shared" si="18"/>
        <v>0.57052074194072766</v>
      </c>
      <c r="Q30" s="1131"/>
      <c r="S30" s="1676" t="s">
        <v>1087</v>
      </c>
      <c r="T30" s="1677">
        <f>ROUNDDOWN(T42/T45,0)</f>
        <v>7962</v>
      </c>
      <c r="U30" s="1677">
        <f t="shared" ref="U30:AC30" si="19">ROUNDDOWN(U42/U45,0)</f>
        <v>8072</v>
      </c>
      <c r="V30" s="1677">
        <f t="shared" si="19"/>
        <v>8163</v>
      </c>
      <c r="W30" s="1677">
        <f t="shared" si="19"/>
        <v>8213</v>
      </c>
      <c r="X30" s="1677">
        <f t="shared" si="19"/>
        <v>8236</v>
      </c>
      <c r="Y30" s="1677">
        <f t="shared" si="19"/>
        <v>8436</v>
      </c>
      <c r="Z30" s="1677">
        <f t="shared" si="19"/>
        <v>8491</v>
      </c>
      <c r="AA30" s="1677">
        <f t="shared" si="19"/>
        <v>8483</v>
      </c>
      <c r="AB30" s="1677">
        <f t="shared" si="19"/>
        <v>8830</v>
      </c>
      <c r="AC30" s="1687">
        <f t="shared" si="19"/>
        <v>8760</v>
      </c>
      <c r="AD30" s="1690">
        <f t="shared" ref="AD30" si="20">ROUNDDOWN(AD42/AD45,0)</f>
        <v>8549</v>
      </c>
      <c r="AE30" s="1678">
        <f>(AD30/AC30-1)*100</f>
        <v>-2.4086757990867569</v>
      </c>
      <c r="AF30" s="1247">
        <f>IF(ISERROR(((AD30/T30)^(1/10)-1)*100),"-",((AD30/T30)^(1/10)-1)*100)</f>
        <v>0.71387696394400457</v>
      </c>
    </row>
    <row r="31" spans="1:32" ht="15.95" customHeight="1" thickBot="1">
      <c r="A31" s="1131"/>
      <c r="B31" s="1209" t="s">
        <v>813</v>
      </c>
      <c r="C31" s="1209"/>
      <c r="D31" s="1081">
        <f>T30</f>
        <v>7962</v>
      </c>
      <c r="E31" s="1081">
        <f t="shared" si="17"/>
        <v>8072</v>
      </c>
      <c r="F31" s="1081">
        <f t="shared" si="17"/>
        <v>8163</v>
      </c>
      <c r="G31" s="1081">
        <f t="shared" si="17"/>
        <v>8213</v>
      </c>
      <c r="H31" s="1081">
        <f t="shared" si="17"/>
        <v>8236</v>
      </c>
      <c r="I31" s="1081">
        <f t="shared" si="17"/>
        <v>8436</v>
      </c>
      <c r="J31" s="1081">
        <f t="shared" si="17"/>
        <v>8491</v>
      </c>
      <c r="K31" s="1081">
        <f t="shared" si="17"/>
        <v>8483</v>
      </c>
      <c r="L31" s="1081">
        <f t="shared" si="17"/>
        <v>8830</v>
      </c>
      <c r="M31" s="1081">
        <f t="shared" si="17"/>
        <v>8760</v>
      </c>
      <c r="N31" s="1081">
        <f t="shared" si="18"/>
        <v>8549</v>
      </c>
      <c r="O31" s="1147">
        <f t="shared" si="18"/>
        <v>-2.4086757990867569</v>
      </c>
      <c r="P31" s="1147">
        <f t="shared" si="18"/>
        <v>0.71387696394400457</v>
      </c>
      <c r="Q31" s="1131"/>
      <c r="S31" s="1679" t="s">
        <v>1088</v>
      </c>
      <c r="T31" s="1680">
        <f>ROUNDDOWN(T43/T45,0)</f>
        <v>11630</v>
      </c>
      <c r="U31" s="1680">
        <f t="shared" ref="U31:AC31" si="21">ROUNDDOWN(U43/U45,0)</f>
        <v>11922</v>
      </c>
      <c r="V31" s="1680">
        <f t="shared" si="21"/>
        <v>11813</v>
      </c>
      <c r="W31" s="1680">
        <f t="shared" si="21"/>
        <v>12225</v>
      </c>
      <c r="X31" s="1680">
        <f t="shared" si="21"/>
        <v>12280</v>
      </c>
      <c r="Y31" s="1680">
        <f t="shared" si="21"/>
        <v>12841</v>
      </c>
      <c r="Z31" s="1680">
        <f t="shared" si="21"/>
        <v>12924</v>
      </c>
      <c r="AA31" s="1680">
        <f t="shared" si="21"/>
        <v>12880</v>
      </c>
      <c r="AB31" s="1680">
        <f t="shared" si="21"/>
        <v>13350</v>
      </c>
      <c r="AC31" s="1688">
        <f t="shared" si="21"/>
        <v>14232</v>
      </c>
      <c r="AD31" s="1681">
        <f t="shared" ref="AD31" si="22">ROUNDDOWN(AD43/AD45,0)</f>
        <v>14855</v>
      </c>
      <c r="AE31" s="1682">
        <f>(AD31/AC31-1)*100</f>
        <v>4.3774592467678453</v>
      </c>
      <c r="AF31" s="1251">
        <f>IF(ISERROR(((AD31/T31)^(1/10)-1)*100),"-",((AD31/T31)^(1/10)-1)*100)</f>
        <v>2.4776821989548781</v>
      </c>
    </row>
    <row r="32" spans="1:32" ht="15.95" customHeight="1" thickBot="1">
      <c r="A32" s="1131"/>
      <c r="B32" s="1252" t="s">
        <v>815</v>
      </c>
      <c r="C32" s="1252"/>
      <c r="D32" s="1253">
        <f>T31</f>
        <v>11630</v>
      </c>
      <c r="E32" s="1253">
        <f t="shared" si="17"/>
        <v>11922</v>
      </c>
      <c r="F32" s="1253">
        <f t="shared" si="17"/>
        <v>11813</v>
      </c>
      <c r="G32" s="1253">
        <f t="shared" si="17"/>
        <v>12225</v>
      </c>
      <c r="H32" s="1253">
        <f t="shared" si="17"/>
        <v>12280</v>
      </c>
      <c r="I32" s="1253">
        <f t="shared" si="17"/>
        <v>12841</v>
      </c>
      <c r="J32" s="1253">
        <f t="shared" si="17"/>
        <v>12924</v>
      </c>
      <c r="K32" s="1253">
        <f t="shared" si="17"/>
        <v>12880</v>
      </c>
      <c r="L32" s="1253">
        <f t="shared" si="17"/>
        <v>13350</v>
      </c>
      <c r="M32" s="1253">
        <f t="shared" si="17"/>
        <v>14232</v>
      </c>
      <c r="N32" s="1253">
        <f t="shared" si="18"/>
        <v>14855</v>
      </c>
      <c r="O32" s="1715">
        <f t="shared" si="18"/>
        <v>4.3774592467678453</v>
      </c>
      <c r="P32" s="1715">
        <f t="shared" si="18"/>
        <v>2.4776821989548781</v>
      </c>
      <c r="Q32" s="1131"/>
      <c r="S32" s="887" t="s">
        <v>829</v>
      </c>
      <c r="T32" s="1231"/>
      <c r="U32" s="1231"/>
      <c r="V32" s="887"/>
      <c r="W32" s="1231"/>
      <c r="X32" s="887"/>
      <c r="Y32" s="887"/>
      <c r="Z32" s="1231"/>
      <c r="AA32" s="887"/>
      <c r="AB32" s="887"/>
      <c r="AC32" s="887"/>
      <c r="AD32" s="887"/>
      <c r="AE32" s="1232" t="s">
        <v>830</v>
      </c>
      <c r="AF32" s="1670" t="s">
        <v>1085</v>
      </c>
    </row>
    <row r="33" spans="1:36" ht="21" customHeight="1" thickBot="1">
      <c r="A33" s="1131"/>
      <c r="B33" s="1255"/>
      <c r="C33" s="1255"/>
      <c r="D33" s="714"/>
      <c r="E33" s="714"/>
      <c r="F33" s="714"/>
      <c r="G33" s="714"/>
      <c r="H33" s="714"/>
      <c r="I33" s="714"/>
      <c r="J33" s="714"/>
      <c r="K33" s="714"/>
      <c r="L33" s="714"/>
      <c r="M33" s="714"/>
      <c r="N33" s="714"/>
      <c r="O33" s="881"/>
      <c r="P33" s="881"/>
      <c r="Q33" s="1131"/>
      <c r="S33" s="1233"/>
      <c r="T33" s="1234" t="str">
        <f t="shared" ref="T33:AD33" si="23">T$5</f>
        <v>2016.3</v>
      </c>
      <c r="U33" s="1234" t="str">
        <f t="shared" si="23"/>
        <v>2017.3</v>
      </c>
      <c r="V33" s="1234" t="str">
        <f t="shared" si="23"/>
        <v>2018.3</v>
      </c>
      <c r="W33" s="1234" t="str">
        <f t="shared" si="23"/>
        <v>2019.3</v>
      </c>
      <c r="X33" s="1234" t="str">
        <f t="shared" si="23"/>
        <v>2020.3</v>
      </c>
      <c r="Y33" s="1234" t="str">
        <f t="shared" si="23"/>
        <v>2021.3</v>
      </c>
      <c r="Z33" s="1234" t="str">
        <f t="shared" si="23"/>
        <v>2022.3</v>
      </c>
      <c r="AA33" s="1234" t="str">
        <f t="shared" si="23"/>
        <v>2023.3</v>
      </c>
      <c r="AB33" s="1235" t="str">
        <f t="shared" si="23"/>
        <v>2024.3</v>
      </c>
      <c r="AC33" s="1234" t="str">
        <f t="shared" si="23"/>
        <v>2025.3</v>
      </c>
      <c r="AD33" s="1236" t="str">
        <f t="shared" si="23"/>
        <v>2026.3</v>
      </c>
      <c r="AE33" s="1237" t="s">
        <v>536</v>
      </c>
      <c r="AF33" s="1691" t="s">
        <v>83</v>
      </c>
    </row>
    <row r="34" spans="1:36" ht="17.25" customHeight="1" thickTop="1">
      <c r="A34" s="1131"/>
      <c r="B34" s="1255"/>
      <c r="C34" s="1255"/>
      <c r="D34" s="714"/>
      <c r="E34" s="714"/>
      <c r="F34" s="714"/>
      <c r="G34" s="714"/>
      <c r="H34" s="714"/>
      <c r="I34" s="714"/>
      <c r="J34" s="714"/>
      <c r="K34" s="714"/>
      <c r="L34" s="714"/>
      <c r="M34" s="714"/>
      <c r="N34" s="714"/>
      <c r="O34" s="881"/>
      <c r="P34" s="881"/>
      <c r="Q34" s="1131"/>
      <c r="S34" s="1239" t="s">
        <v>831</v>
      </c>
      <c r="T34" s="1149">
        <f t="shared" ref="T34:AC34" si="24">INT((T41-T50)/(T44-T53))</f>
        <v>6163</v>
      </c>
      <c r="U34" s="1149">
        <f t="shared" si="24"/>
        <v>6118</v>
      </c>
      <c r="V34" s="1149">
        <f t="shared" si="24"/>
        <v>6041</v>
      </c>
      <c r="W34" s="1149">
        <f t="shared" si="24"/>
        <v>6032</v>
      </c>
      <c r="X34" s="1149">
        <f t="shared" si="24"/>
        <v>5968</v>
      </c>
      <c r="Y34" s="1149">
        <f t="shared" si="24"/>
        <v>6058</v>
      </c>
      <c r="Z34" s="1149">
        <f t="shared" si="24"/>
        <v>6177</v>
      </c>
      <c r="AA34" s="1149">
        <f t="shared" si="24"/>
        <v>6200</v>
      </c>
      <c r="AB34" s="1149">
        <f t="shared" si="24"/>
        <v>6269</v>
      </c>
      <c r="AC34" s="1149">
        <f t="shared" si="24"/>
        <v>6318</v>
      </c>
      <c r="AD34" s="1154">
        <f>IF(AD50="","",INT((AD41-AD50)/(AD44-AD53)))</f>
        <v>6197</v>
      </c>
      <c r="AE34" s="1240">
        <f>(AD34/AC34-1)*100</f>
        <v>-1.9151630262741359</v>
      </c>
      <c r="AF34" s="1692">
        <f>IF(ISERROR(((AD34/T34)^(1/10)-1)*100),"-",((AD34/T34)^(1/10)-1)*100)</f>
        <v>5.5031456751741814E-2</v>
      </c>
    </row>
    <row r="35" spans="1:36" ht="12" customHeight="1">
      <c r="A35" s="1131"/>
      <c r="B35" s="714"/>
      <c r="C35" s="714"/>
      <c r="D35" s="1261"/>
      <c r="E35" s="1261"/>
      <c r="F35" s="714"/>
      <c r="G35" s="1261"/>
      <c r="H35" s="714"/>
      <c r="I35" s="714"/>
      <c r="J35" s="1261"/>
      <c r="K35" s="714"/>
      <c r="L35" s="714"/>
      <c r="M35" s="714"/>
      <c r="N35" s="714"/>
      <c r="O35" s="1230"/>
      <c r="P35" s="2065" t="s">
        <v>1717</v>
      </c>
      <c r="Q35" s="1131"/>
      <c r="S35" s="1243" t="s">
        <v>832</v>
      </c>
      <c r="T35" s="1244">
        <f t="shared" ref="T35:AC35" si="25">INT((T42-T51)/(T45-T54))</f>
        <v>8057</v>
      </c>
      <c r="U35" s="1244">
        <f t="shared" si="25"/>
        <v>8190</v>
      </c>
      <c r="V35" s="1244">
        <f t="shared" si="25"/>
        <v>8281</v>
      </c>
      <c r="W35" s="1244">
        <f t="shared" si="25"/>
        <v>8395</v>
      </c>
      <c r="X35" s="1244">
        <f t="shared" si="25"/>
        <v>8355</v>
      </c>
      <c r="Y35" s="1244">
        <f t="shared" si="25"/>
        <v>8445</v>
      </c>
      <c r="Z35" s="1244">
        <f t="shared" si="25"/>
        <v>8473</v>
      </c>
      <c r="AA35" s="1244">
        <f t="shared" si="25"/>
        <v>8517</v>
      </c>
      <c r="AB35" s="1244">
        <f t="shared" si="25"/>
        <v>8873</v>
      </c>
      <c r="AC35" s="1244">
        <f t="shared" si="25"/>
        <v>8787</v>
      </c>
      <c r="AD35" s="1245">
        <f>IF(AD51="","",INT((AD42-AD51)/(AD45-AD54)))</f>
        <v>8497</v>
      </c>
      <c r="AE35" s="1246">
        <f>(AD35/AC35-1)*100</f>
        <v>-3.3003300330032959</v>
      </c>
      <c r="AF35" s="1693">
        <f>IF(ISERROR(((AD35/T35)^(1/10)-1)*100),"-",((AD35/T35)^(1/10)-1)*100)</f>
        <v>0.53313494557656327</v>
      </c>
    </row>
    <row r="36" spans="1:36" ht="24" customHeight="1" thickBot="1">
      <c r="A36" s="1131"/>
      <c r="B36" s="2478"/>
      <c r="C36" s="2478"/>
      <c r="D36" s="2206" t="str">
        <f>T33</f>
        <v>2016.3</v>
      </c>
      <c r="E36" s="2206" t="str">
        <f t="shared" ref="E36:N36" si="26">U33</f>
        <v>2017.3</v>
      </c>
      <c r="F36" s="2206" t="str">
        <f t="shared" si="26"/>
        <v>2018.3</v>
      </c>
      <c r="G36" s="2206" t="str">
        <f t="shared" si="26"/>
        <v>2019.3</v>
      </c>
      <c r="H36" s="2206" t="str">
        <f t="shared" si="26"/>
        <v>2020.3</v>
      </c>
      <c r="I36" s="2206" t="str">
        <f t="shared" si="26"/>
        <v>2021.3</v>
      </c>
      <c r="J36" s="2206" t="str">
        <f t="shared" si="26"/>
        <v>2022.3</v>
      </c>
      <c r="K36" s="2206" t="str">
        <f t="shared" si="26"/>
        <v>2023.3</v>
      </c>
      <c r="L36" s="2206" t="str">
        <f t="shared" si="26"/>
        <v>2024.3</v>
      </c>
      <c r="M36" s="2206" t="str">
        <f t="shared" si="26"/>
        <v>2025.3</v>
      </c>
      <c r="N36" s="2306" t="str">
        <f t="shared" si="26"/>
        <v>2026.3</v>
      </c>
      <c r="O36" s="912" t="s">
        <v>638</v>
      </c>
      <c r="P36" s="913" t="s">
        <v>558</v>
      </c>
      <c r="Q36" s="1131"/>
      <c r="S36" s="1248" t="s">
        <v>833</v>
      </c>
      <c r="T36" s="825">
        <f t="shared" ref="T36:AC36" si="27">INT((T43-T52)/(T45-T54))</f>
        <v>12627</v>
      </c>
      <c r="U36" s="825">
        <f t="shared" si="27"/>
        <v>13061</v>
      </c>
      <c r="V36" s="825">
        <f t="shared" si="27"/>
        <v>12974</v>
      </c>
      <c r="W36" s="825">
        <f t="shared" si="27"/>
        <v>13556</v>
      </c>
      <c r="X36" s="825">
        <f t="shared" si="27"/>
        <v>13708</v>
      </c>
      <c r="Y36" s="825">
        <f t="shared" si="27"/>
        <v>14094</v>
      </c>
      <c r="Z36" s="825">
        <f t="shared" si="27"/>
        <v>13920</v>
      </c>
      <c r="AA36" s="825">
        <f t="shared" si="27"/>
        <v>13930</v>
      </c>
      <c r="AB36" s="825">
        <f t="shared" si="27"/>
        <v>14306</v>
      </c>
      <c r="AC36" s="825">
        <f t="shared" si="27"/>
        <v>15171</v>
      </c>
      <c r="AD36" s="1249">
        <f>IF(AD52="","",INT((AD43-AD52)/(AD45-AD54)))</f>
        <v>15776</v>
      </c>
      <c r="AE36" s="1250">
        <f>(AD36/AC36-1)*100</f>
        <v>3.9878715971261025</v>
      </c>
      <c r="AF36" s="1694">
        <f>IF(ISERROR(((AD36/T36)^(1/10)-1)*100),"-",((AD36/T36)^(1/10)-1)*100)</f>
        <v>2.2514962357650603</v>
      </c>
    </row>
    <row r="37" spans="1:36" ht="18.95" customHeight="1" thickBot="1">
      <c r="A37" s="1131"/>
      <c r="B37" s="2479"/>
      <c r="C37" s="2479"/>
      <c r="D37" s="2207"/>
      <c r="E37" s="2207"/>
      <c r="F37" s="2207"/>
      <c r="G37" s="2207"/>
      <c r="H37" s="2207"/>
      <c r="I37" s="2207"/>
      <c r="J37" s="2207"/>
      <c r="K37" s="2207"/>
      <c r="L37" s="2207"/>
      <c r="M37" s="2207"/>
      <c r="N37" s="2450"/>
      <c r="O37" s="1200" t="s">
        <v>511</v>
      </c>
      <c r="P37" s="1201" t="s">
        <v>509</v>
      </c>
      <c r="Q37" s="1131"/>
    </row>
    <row r="38" spans="1:36" ht="15.95" customHeight="1" thickBot="1">
      <c r="A38" s="1131"/>
      <c r="B38" s="1204" t="s">
        <v>811</v>
      </c>
      <c r="C38" s="1204"/>
      <c r="D38" s="1065">
        <f t="shared" ref="D38:O38" si="28">T34</f>
        <v>6163</v>
      </c>
      <c r="E38" s="1065">
        <f t="shared" si="28"/>
        <v>6118</v>
      </c>
      <c r="F38" s="1065">
        <f t="shared" si="28"/>
        <v>6041</v>
      </c>
      <c r="G38" s="1065">
        <f t="shared" si="28"/>
        <v>6032</v>
      </c>
      <c r="H38" s="1079">
        <f t="shared" si="28"/>
        <v>5968</v>
      </c>
      <c r="I38" s="1079">
        <f t="shared" si="28"/>
        <v>6058</v>
      </c>
      <c r="J38" s="1079">
        <f t="shared" si="28"/>
        <v>6177</v>
      </c>
      <c r="K38" s="1079">
        <f t="shared" si="28"/>
        <v>6200</v>
      </c>
      <c r="L38" s="1079">
        <f t="shared" si="28"/>
        <v>6269</v>
      </c>
      <c r="M38" s="1079">
        <f t="shared" si="28"/>
        <v>6318</v>
      </c>
      <c r="N38" s="1079">
        <f t="shared" si="28"/>
        <v>6197</v>
      </c>
      <c r="O38" s="1242">
        <f t="shared" si="28"/>
        <v>-1.9151630262741359</v>
      </c>
      <c r="P38" s="1205">
        <f>AF34</f>
        <v>5.5031456751741814E-2</v>
      </c>
      <c r="Q38" s="1131"/>
      <c r="S38" s="1256" t="s">
        <v>834</v>
      </c>
      <c r="T38" s="1234" t="str">
        <f t="shared" ref="T38:AD38" si="29">T$5</f>
        <v>2016.3</v>
      </c>
      <c r="U38" s="1234" t="str">
        <f t="shared" si="29"/>
        <v>2017.3</v>
      </c>
      <c r="V38" s="1234" t="str">
        <f t="shared" si="29"/>
        <v>2018.3</v>
      </c>
      <c r="W38" s="1234" t="str">
        <f t="shared" si="29"/>
        <v>2019.3</v>
      </c>
      <c r="X38" s="1234" t="str">
        <f t="shared" si="29"/>
        <v>2020.3</v>
      </c>
      <c r="Y38" s="1234" t="str">
        <f t="shared" si="29"/>
        <v>2021.3</v>
      </c>
      <c r="Z38" s="1234" t="str">
        <f t="shared" si="29"/>
        <v>2022.3</v>
      </c>
      <c r="AA38" s="1234" t="str">
        <f t="shared" si="29"/>
        <v>2023.3</v>
      </c>
      <c r="AB38" s="1234" t="str">
        <f t="shared" si="29"/>
        <v>2024.3</v>
      </c>
      <c r="AC38" s="1234" t="str">
        <f t="shared" si="29"/>
        <v>2025.3</v>
      </c>
      <c r="AD38" s="1236" t="str">
        <f t="shared" si="29"/>
        <v>2026.3</v>
      </c>
      <c r="AE38" s="1237" t="s">
        <v>536</v>
      </c>
      <c r="AF38" s="1237" t="s">
        <v>536</v>
      </c>
    </row>
    <row r="39" spans="1:36" ht="15.95" customHeight="1" thickTop="1" thickBot="1">
      <c r="A39" s="1131"/>
      <c r="B39" s="1209" t="s">
        <v>813</v>
      </c>
      <c r="C39" s="1209"/>
      <c r="D39" s="1066">
        <f>T35</f>
        <v>8057</v>
      </c>
      <c r="E39" s="1066">
        <f t="shared" ref="E39:N39" si="30">U35</f>
        <v>8190</v>
      </c>
      <c r="F39" s="1066">
        <f t="shared" si="30"/>
        <v>8281</v>
      </c>
      <c r="G39" s="1066">
        <f t="shared" si="30"/>
        <v>8395</v>
      </c>
      <c r="H39" s="1081">
        <f t="shared" si="30"/>
        <v>8355</v>
      </c>
      <c r="I39" s="1081">
        <f t="shared" si="30"/>
        <v>8445</v>
      </c>
      <c r="J39" s="1081">
        <f t="shared" si="30"/>
        <v>8473</v>
      </c>
      <c r="K39" s="1081">
        <f t="shared" si="30"/>
        <v>8517</v>
      </c>
      <c r="L39" s="1081">
        <f t="shared" si="30"/>
        <v>8873</v>
      </c>
      <c r="M39" s="1081">
        <f t="shared" si="30"/>
        <v>8787</v>
      </c>
      <c r="N39" s="1081">
        <f t="shared" si="30"/>
        <v>8497</v>
      </c>
      <c r="O39" s="1147">
        <f>AE35</f>
        <v>-3.3003300330032959</v>
      </c>
      <c r="P39" s="1125">
        <f>AF35</f>
        <v>0.53313494557656327</v>
      </c>
      <c r="Q39" s="1131"/>
      <c r="S39" s="1257"/>
      <c r="T39" s="1257"/>
      <c r="U39" s="1257"/>
      <c r="V39" s="1258"/>
      <c r="W39" s="1257"/>
      <c r="X39" s="1258"/>
      <c r="Y39" s="1258"/>
      <c r="Z39" s="1257"/>
      <c r="AA39" s="1258"/>
      <c r="AB39" s="1258"/>
      <c r="AC39" s="1258"/>
      <c r="AD39" s="1259"/>
      <c r="AE39" s="1260"/>
      <c r="AF39" s="1260"/>
    </row>
    <row r="40" spans="1:36" ht="15.95" customHeight="1" thickTop="1">
      <c r="A40" s="1131"/>
      <c r="B40" s="1252" t="s">
        <v>815</v>
      </c>
      <c r="C40" s="1252"/>
      <c r="D40" s="1267">
        <f>T36</f>
        <v>12627</v>
      </c>
      <c r="E40" s="1267">
        <f t="shared" ref="E40:N40" si="31">U36</f>
        <v>13061</v>
      </c>
      <c r="F40" s="1267">
        <f t="shared" si="31"/>
        <v>12974</v>
      </c>
      <c r="G40" s="1267">
        <f t="shared" si="31"/>
        <v>13556</v>
      </c>
      <c r="H40" s="1253">
        <f t="shared" si="31"/>
        <v>13708</v>
      </c>
      <c r="I40" s="1253">
        <f t="shared" si="31"/>
        <v>14094</v>
      </c>
      <c r="J40" s="1253">
        <f t="shared" si="31"/>
        <v>13920</v>
      </c>
      <c r="K40" s="1253">
        <f t="shared" si="31"/>
        <v>13930</v>
      </c>
      <c r="L40" s="1253">
        <f t="shared" si="31"/>
        <v>14306</v>
      </c>
      <c r="M40" s="1253">
        <f t="shared" si="31"/>
        <v>15171</v>
      </c>
      <c r="N40" s="1253">
        <f t="shared" si="31"/>
        <v>15776</v>
      </c>
      <c r="O40" s="1254">
        <f>AE36</f>
        <v>3.9878715971261025</v>
      </c>
      <c r="P40" s="1127">
        <f>AF36</f>
        <v>2.2514962357650603</v>
      </c>
      <c r="Q40" s="1131"/>
      <c r="S40" s="1262" t="s">
        <v>803</v>
      </c>
      <c r="T40" s="1262"/>
      <c r="U40" s="1262"/>
      <c r="V40" s="1175"/>
      <c r="W40" s="1262"/>
      <c r="X40" s="1175"/>
      <c r="Y40" s="1177"/>
      <c r="Z40" s="1262"/>
      <c r="AA40" s="1175"/>
      <c r="AB40" s="1177"/>
      <c r="AC40" s="1177"/>
      <c r="AD40" s="1178"/>
      <c r="AE40" s="1179"/>
      <c r="AF40" s="1179"/>
    </row>
    <row r="41" spans="1:36" ht="12" customHeight="1">
      <c r="A41" s="1131"/>
      <c r="B41" s="1814"/>
      <c r="C41" s="1131"/>
      <c r="D41" s="1131"/>
      <c r="E41" s="1131"/>
      <c r="F41" s="1272"/>
      <c r="G41" s="1131"/>
      <c r="H41" s="1272"/>
      <c r="I41" s="1273"/>
      <c r="J41" s="1131"/>
      <c r="K41" s="1272"/>
      <c r="L41" s="1137"/>
      <c r="M41" s="714"/>
      <c r="N41" s="1173"/>
      <c r="O41" s="1274"/>
      <c r="P41" s="1274"/>
      <c r="Q41" s="1131"/>
      <c r="S41" s="1263" t="s">
        <v>835</v>
      </c>
      <c r="T41" s="861">
        <v>12882947963</v>
      </c>
      <c r="U41" s="1149">
        <v>12535338687</v>
      </c>
      <c r="V41" s="861">
        <v>14252226495</v>
      </c>
      <c r="W41" s="1149">
        <v>15362983573</v>
      </c>
      <c r="X41" s="861">
        <v>15142922314</v>
      </c>
      <c r="Y41" s="861">
        <v>14233924900</v>
      </c>
      <c r="Z41" s="1149">
        <v>15280083650</v>
      </c>
      <c r="AA41" s="1149">
        <v>16655333500</v>
      </c>
      <c r="AB41" s="861">
        <v>17589389400</v>
      </c>
      <c r="AC41" s="1207">
        <v>18516289600</v>
      </c>
      <c r="AD41" s="1154">
        <v>19962820300</v>
      </c>
      <c r="AE41" s="1196">
        <f>(AD41/AC41-1)*100</f>
        <v>7.8122060696220741</v>
      </c>
      <c r="AF41" s="1189">
        <f>IF(ISERROR(((AD41/T41)^(1/10)-1)*100),"-",((AD41/T41)^(1/10)-1)*100)</f>
        <v>4.4769929991096191</v>
      </c>
    </row>
    <row r="42" spans="1:36" ht="12" customHeight="1">
      <c r="A42" s="1131"/>
      <c r="B42" s="1146"/>
      <c r="C42" s="1131"/>
      <c r="D42" s="1131"/>
      <c r="E42" s="1131"/>
      <c r="F42" s="1131"/>
      <c r="G42" s="1131"/>
      <c r="H42" s="1131"/>
      <c r="I42" s="1131"/>
      <c r="J42" s="1131"/>
      <c r="K42" s="1131"/>
      <c r="L42" s="1131"/>
      <c r="M42" s="1131"/>
      <c r="N42" s="1131"/>
      <c r="O42" s="1132"/>
      <c r="P42" s="1132"/>
      <c r="Q42" s="1131"/>
      <c r="S42" s="1263" t="s">
        <v>836</v>
      </c>
      <c r="T42" s="861">
        <v>12441311552</v>
      </c>
      <c r="U42" s="1149">
        <v>12179593872</v>
      </c>
      <c r="V42" s="861">
        <v>13959514767</v>
      </c>
      <c r="W42" s="1149">
        <v>14998060579</v>
      </c>
      <c r="X42" s="861">
        <v>14598751950</v>
      </c>
      <c r="Y42" s="861">
        <v>14179892900</v>
      </c>
      <c r="Z42" s="1149">
        <v>15176997300</v>
      </c>
      <c r="AA42" s="1149">
        <v>15812424450</v>
      </c>
      <c r="AB42" s="861">
        <v>17542224450</v>
      </c>
      <c r="AC42" s="1207">
        <v>18791991400</v>
      </c>
      <c r="AD42" s="1154">
        <v>20070690200</v>
      </c>
      <c r="AE42" s="1196">
        <f>(AD42/AC42-1)*100</f>
        <v>6.80448800120248</v>
      </c>
      <c r="AF42" s="1189">
        <f>IF(ISERROR(((AD42/T42)^(1/10)-1)*100),"-",((AD42/T42)^(1/10)-1)*100)</f>
        <v>4.8985811923328182</v>
      </c>
    </row>
    <row r="43" spans="1:36" ht="12" customHeight="1">
      <c r="A43" s="1131"/>
      <c r="B43" s="1219"/>
      <c r="C43" s="1131"/>
      <c r="D43" s="1131"/>
      <c r="E43" s="1131"/>
      <c r="F43" s="1131"/>
      <c r="G43" s="1131"/>
      <c r="H43" s="1131"/>
      <c r="I43" s="1131"/>
      <c r="J43" s="1131"/>
      <c r="K43" s="1131"/>
      <c r="L43" s="1131"/>
      <c r="M43" s="1131"/>
      <c r="N43" s="1131"/>
      <c r="O43" s="1132"/>
      <c r="P43" s="1132"/>
      <c r="Q43" s="1131"/>
      <c r="S43" s="1263" t="s">
        <v>837</v>
      </c>
      <c r="T43" s="861">
        <v>18171491400</v>
      </c>
      <c r="U43" s="1149">
        <v>17989373370</v>
      </c>
      <c r="V43" s="861">
        <v>20201420614</v>
      </c>
      <c r="W43" s="1149">
        <v>22323190400</v>
      </c>
      <c r="X43" s="861">
        <v>21766064700</v>
      </c>
      <c r="Y43" s="861">
        <v>21584912900</v>
      </c>
      <c r="Z43" s="1149">
        <v>23099982100</v>
      </c>
      <c r="AA43" s="1149">
        <v>24008550200</v>
      </c>
      <c r="AB43" s="861">
        <v>26521833400</v>
      </c>
      <c r="AC43" s="1207">
        <v>30531468600</v>
      </c>
      <c r="AD43" s="1154">
        <v>34873700000</v>
      </c>
      <c r="AE43" s="1196">
        <f>(AD43/AC43-1)*100</f>
        <v>14.222150453647032</v>
      </c>
      <c r="AF43" s="1189">
        <f>IF(ISERROR(((AD43/T43)^(1/10)-1)*100),"-",((AD43/T43)^(1/10)-1)*100)</f>
        <v>6.7359562839161224</v>
      </c>
      <c r="AI43" s="145" t="s">
        <v>1688</v>
      </c>
    </row>
    <row r="44" spans="1:36" ht="12" customHeight="1">
      <c r="A44" s="1131"/>
      <c r="B44" s="1219"/>
      <c r="C44" s="1131"/>
      <c r="D44" s="1131"/>
      <c r="E44" s="1131"/>
      <c r="F44" s="1131"/>
      <c r="G44" s="1131"/>
      <c r="H44" s="1131"/>
      <c r="I44" s="1131"/>
      <c r="J44" s="1131"/>
      <c r="K44" s="1131"/>
      <c r="L44" s="1131"/>
      <c r="M44" s="1131"/>
      <c r="N44" s="1131"/>
      <c r="O44" s="1132"/>
      <c r="P44" s="1132"/>
      <c r="Q44" s="1131"/>
      <c r="S44" s="1263" t="s">
        <v>565</v>
      </c>
      <c r="T44" s="1264">
        <f>'Ⅲ-1-(2)_AAｾｸﾞﾒﾝﾄ売上推移'!T27</f>
        <v>2394009</v>
      </c>
      <c r="U44" s="1264">
        <f>'Ⅲ-1-(2)_AAｾｸﾞﾒﾝﾄ売上推移'!U27</f>
        <v>2353536</v>
      </c>
      <c r="V44" s="1265">
        <f>'Ⅲ-1-(2)_AAｾｸﾞﾒﾝﾄ売上推移'!V27</f>
        <v>2700010</v>
      </c>
      <c r="W44" s="1264">
        <f>'Ⅲ-1-(2)_AAｾｸﾞﾒﾝﾄ売上推移'!W27</f>
        <v>2930127</v>
      </c>
      <c r="X44" s="1265">
        <f>'Ⅲ-1-(2)_AAｾｸﾞﾒﾝﾄ売上推移'!X27</f>
        <v>2924052</v>
      </c>
      <c r="Y44" s="1264">
        <f>'Ⅲ-1-(2)_AAｾｸﾞﾒﾝﾄ売上推移'!Y27</f>
        <v>2661084</v>
      </c>
      <c r="Z44" s="1264">
        <f>'Ⅲ-1-(2)_AAｾｸﾞﾒﾝﾄ売上推移'!Z27</f>
        <v>2731669</v>
      </c>
      <c r="AA44" s="1265">
        <f>'Ⅲ-1-(2)_AAｾｸﾞﾒﾝﾄ売上推移'!AA27</f>
        <v>2958598</v>
      </c>
      <c r="AB44" s="1265">
        <f>'Ⅲ-1-(2)_AAｾｸﾞﾒﾝﾄ売上推移'!AB27</f>
        <v>3084529</v>
      </c>
      <c r="AC44" s="1265">
        <f>'Ⅲ-1-(2)_AAｾｸﾞﾒﾝﾄ売上推移'!AC27</f>
        <v>3202002</v>
      </c>
      <c r="AD44" s="1266">
        <f>'Ⅲ-1-(2)_AAｾｸﾞﾒﾝﾄ売上推移'!AD27</f>
        <v>3504437</v>
      </c>
      <c r="AE44" s="1196">
        <f>(AD44/AC44-1)*100</f>
        <v>9.4451846063806411</v>
      </c>
      <c r="AF44" s="1189">
        <f>IF(ISERROR(((AD44/T44)^(1/10)-1)*100),"-",((AD44/T44)^(1/10)-1)*100)</f>
        <v>3.8841397557287882</v>
      </c>
      <c r="AI44" s="1152">
        <f>'Ⅱ-2-(2)_AA実績月次推移'!R11</f>
        <v>3504437</v>
      </c>
      <c r="AJ44" s="1133" t="str">
        <f>IF(AD$44=AI$44,"OK","NG")</f>
        <v>OK</v>
      </c>
    </row>
    <row r="45" spans="1:36" ht="12.75" customHeight="1" thickBot="1">
      <c r="A45" s="1131"/>
      <c r="B45" s="1131"/>
      <c r="C45" s="1276"/>
      <c r="D45" s="1131"/>
      <c r="E45" s="1131"/>
      <c r="F45" s="1131"/>
      <c r="G45" s="1131"/>
      <c r="H45" s="1131"/>
      <c r="I45" s="1131"/>
      <c r="J45" s="1131"/>
      <c r="K45" s="1131"/>
      <c r="L45" s="1131"/>
      <c r="M45" s="1131"/>
      <c r="N45" s="1131"/>
      <c r="O45" s="1132"/>
      <c r="P45" s="1132"/>
      <c r="Q45" s="1131"/>
      <c r="S45" s="1268" t="s">
        <v>838</v>
      </c>
      <c r="T45" s="1264">
        <f>'Ⅲ-1-(2)_AAｾｸﾞﾒﾝﾄ売上推移'!T28</f>
        <v>1562399</v>
      </c>
      <c r="U45" s="1269">
        <f>'Ⅲ-1-(2)_AAｾｸﾞﾒﾝﾄ売上推移'!U28</f>
        <v>1508843</v>
      </c>
      <c r="V45" s="1265">
        <f>'Ⅲ-1-(2)_AAｾｸﾞﾒﾝﾄ売上推移'!V28</f>
        <v>1709998</v>
      </c>
      <c r="W45" s="1269">
        <f>'Ⅲ-1-(2)_AAｾｸﾞﾒﾝﾄ売上推移'!W28</f>
        <v>1825991</v>
      </c>
      <c r="X45" s="1265">
        <f>'Ⅲ-1-(2)_AAｾｸﾞﾒﾝﾄ売上推移'!X28</f>
        <v>1772443</v>
      </c>
      <c r="Y45" s="1265">
        <f>'Ⅲ-1-(2)_AAｾｸﾞﾒﾝﾄ売上推移'!Y28</f>
        <v>1680810</v>
      </c>
      <c r="Z45" s="1269">
        <f>'Ⅲ-1-(2)_AAｾｸﾞﾒﾝﾄ売上推移'!Z28</f>
        <v>1787302</v>
      </c>
      <c r="AA45" s="1265">
        <f>'Ⅲ-1-(2)_AAｾｸﾞﾒﾝﾄ売上推移'!AA28</f>
        <v>1863988</v>
      </c>
      <c r="AB45" s="1265">
        <f>'Ⅲ-1-(2)_AAｾｸﾞﾒﾝﾄ売上推移'!AB28</f>
        <v>1986643</v>
      </c>
      <c r="AC45" s="1265">
        <f>'Ⅲ-1-(2)_AAｾｸﾞﾒﾝﾄ売上推移'!AC28</f>
        <v>2145158</v>
      </c>
      <c r="AD45" s="1270">
        <f>'Ⅲ-1-(2)_AAｾｸﾞﾒﾝﾄ売上推移'!AD28</f>
        <v>2347566</v>
      </c>
      <c r="AE45" s="1271">
        <f>(AD45/AC45-1)*100</f>
        <v>9.4355753748675006</v>
      </c>
      <c r="AF45" s="1191">
        <f>IF(ISERROR(((AD45/T45)^(1/10)-1)*100),"-",((AD45/T45)^(1/10)-1)*100)</f>
        <v>4.1555905991035091</v>
      </c>
      <c r="AG45" s="1133" t="s">
        <v>840</v>
      </c>
      <c r="AI45" s="1152">
        <f>'Ⅱ-2-(2)_AA実績月次推移'!R18</f>
        <v>2347566</v>
      </c>
      <c r="AJ45" s="1133" t="str">
        <f>IF(AD$44=AI$44,"OK","NG")</f>
        <v>OK</v>
      </c>
    </row>
    <row r="46" spans="1:36" ht="9" customHeight="1" thickBot="1">
      <c r="A46" s="1131"/>
      <c r="B46" s="1282"/>
      <c r="C46" s="1131"/>
      <c r="D46" s="1173"/>
      <c r="E46" s="1173"/>
      <c r="F46" s="1173"/>
      <c r="G46" s="1173"/>
      <c r="H46" s="1173"/>
      <c r="I46" s="1173"/>
      <c r="J46" s="1173"/>
      <c r="K46" s="1173"/>
      <c r="L46" s="1173"/>
      <c r="M46" s="1173"/>
      <c r="N46" s="1173"/>
      <c r="O46" s="1274"/>
      <c r="P46" s="1274"/>
      <c r="Q46" s="1131"/>
      <c r="V46" s="1275"/>
      <c r="X46" s="1275"/>
      <c r="Y46" s="1275"/>
      <c r="AA46" s="1275"/>
      <c r="AB46" s="1275"/>
      <c r="AC46" s="1275"/>
      <c r="AF46" s="1223"/>
    </row>
    <row r="47" spans="1:36" ht="16.5" customHeight="1" thickBot="1">
      <c r="A47" s="1131"/>
      <c r="B47" s="1131"/>
      <c r="C47" s="1131"/>
      <c r="D47" s="1131"/>
      <c r="E47" s="1131"/>
      <c r="F47" s="1131"/>
      <c r="G47" s="1131"/>
      <c r="H47" s="1131"/>
      <c r="I47" s="1131"/>
      <c r="J47" s="1131"/>
      <c r="K47" s="1131"/>
      <c r="L47" s="1131"/>
      <c r="M47" s="1131"/>
      <c r="N47" s="1131"/>
      <c r="O47" s="1132"/>
      <c r="P47" s="1132"/>
      <c r="Q47" s="1131"/>
      <c r="S47" s="1256" t="s">
        <v>834</v>
      </c>
      <c r="T47" s="1234" t="str">
        <f t="shared" ref="T47:AD47" si="32">T$5</f>
        <v>2016.3</v>
      </c>
      <c r="U47" s="1234" t="str">
        <f t="shared" si="32"/>
        <v>2017.3</v>
      </c>
      <c r="V47" s="1234" t="str">
        <f t="shared" si="32"/>
        <v>2018.3</v>
      </c>
      <c r="W47" s="1234" t="str">
        <f t="shared" si="32"/>
        <v>2019.3</v>
      </c>
      <c r="X47" s="1234" t="str">
        <f t="shared" si="32"/>
        <v>2020.3</v>
      </c>
      <c r="Y47" s="1235" t="str">
        <f t="shared" si="32"/>
        <v>2021.3</v>
      </c>
      <c r="Z47" s="1234" t="str">
        <f t="shared" si="32"/>
        <v>2022.3</v>
      </c>
      <c r="AA47" s="1234" t="str">
        <f t="shared" si="32"/>
        <v>2023.3</v>
      </c>
      <c r="AB47" s="1235" t="str">
        <f t="shared" si="32"/>
        <v>2024.3</v>
      </c>
      <c r="AC47" s="1234" t="str">
        <f t="shared" si="32"/>
        <v>2025.3</v>
      </c>
      <c r="AD47" s="1236" t="str">
        <f t="shared" si="32"/>
        <v>2026.3</v>
      </c>
      <c r="AE47" s="1237" t="s">
        <v>536</v>
      </c>
      <c r="AF47" s="1237" t="s">
        <v>536</v>
      </c>
    </row>
    <row r="48" spans="1:36" ht="11.25" customHeight="1" thickTop="1">
      <c r="S48" s="1257"/>
      <c r="T48" s="1258"/>
      <c r="U48" s="1258"/>
      <c r="V48" s="1258"/>
      <c r="W48" s="1258"/>
      <c r="X48" s="1258"/>
      <c r="Y48" s="1257"/>
      <c r="Z48" s="1258"/>
      <c r="AA48" s="1258"/>
      <c r="AB48" s="1257"/>
      <c r="AC48" s="1257"/>
      <c r="AD48" s="1259"/>
      <c r="AE48" s="1260"/>
      <c r="AF48" s="1260"/>
    </row>
    <row r="49" spans="19:33" ht="13.5" thickBot="1">
      <c r="S49" s="1257"/>
      <c r="T49" s="1258"/>
      <c r="U49" s="1258"/>
      <c r="V49" s="1258"/>
      <c r="W49" s="1258"/>
      <c r="X49" s="1695"/>
      <c r="Y49" s="1257"/>
      <c r="Z49" s="1258"/>
      <c r="AA49" s="1695"/>
      <c r="AB49" s="1695"/>
      <c r="AC49" s="1257"/>
      <c r="AD49" s="1259"/>
      <c r="AE49" s="1710"/>
      <c r="AF49" s="1711"/>
    </row>
    <row r="50" spans="19:33" ht="13.5" thickTop="1">
      <c r="S50" s="1262" t="s">
        <v>839</v>
      </c>
      <c r="T50" s="1277">
        <v>729251000</v>
      </c>
      <c r="U50" s="1277">
        <v>715829500</v>
      </c>
      <c r="V50" s="1277">
        <v>866268500</v>
      </c>
      <c r="W50" s="1277">
        <v>988990500</v>
      </c>
      <c r="X50" s="1149">
        <v>1098114000</v>
      </c>
      <c r="Y50" s="1278">
        <v>1133052000</v>
      </c>
      <c r="Z50" s="1277">
        <v>1021539750</v>
      </c>
      <c r="AA50" s="1195">
        <v>966166500</v>
      </c>
      <c r="AB50" s="1279">
        <v>995166000</v>
      </c>
      <c r="AC50" s="1280">
        <v>962678000</v>
      </c>
      <c r="AD50" s="1281">
        <v>1036522000</v>
      </c>
      <c r="AE50" s="1196">
        <f>(AD50/AC50-1)*100</f>
        <v>7.6706853174166145</v>
      </c>
      <c r="AF50" s="1189">
        <f>IF(ISERROR(((AD50/T50)^(1/10)-1)*100),"-",((AD50/T50)^(1/10)-1)*100)</f>
        <v>3.5786268162351975</v>
      </c>
    </row>
    <row r="51" spans="19:33">
      <c r="S51" s="1263" t="s">
        <v>841</v>
      </c>
      <c r="T51" s="1195">
        <v>2380707500</v>
      </c>
      <c r="U51" s="1195">
        <v>2454077000</v>
      </c>
      <c r="V51" s="1195">
        <v>3006674000</v>
      </c>
      <c r="W51" s="1149">
        <v>3421328500</v>
      </c>
      <c r="X51" s="1149">
        <v>3607303500</v>
      </c>
      <c r="Y51" s="1149">
        <v>3431217800</v>
      </c>
      <c r="Z51" s="1149">
        <v>3226880000</v>
      </c>
      <c r="AA51" s="1149">
        <v>3185435500</v>
      </c>
      <c r="AB51" s="1283">
        <v>3332313000</v>
      </c>
      <c r="AC51" s="1284">
        <v>3252766500</v>
      </c>
      <c r="AD51" s="1285">
        <v>3499185000</v>
      </c>
      <c r="AE51" s="1196">
        <f>(AD51/AC51-1)*100</f>
        <v>7.57565905822013</v>
      </c>
      <c r="AF51" s="1189">
        <f>IF(ISERROR(((AD51/T51)^(1/10)-1)*100),"-",((AD51/T51)^(1/10)-1)*100)</f>
        <v>3.9264485200254384</v>
      </c>
    </row>
    <row r="52" spans="19:33">
      <c r="S52" s="1263" t="s">
        <v>842</v>
      </c>
      <c r="T52" s="1195">
        <v>2404271400</v>
      </c>
      <c r="U52" s="1195">
        <v>2479157100</v>
      </c>
      <c r="V52" s="1195">
        <v>3041244100</v>
      </c>
      <c r="W52" s="1149">
        <v>3629175900</v>
      </c>
      <c r="X52" s="1149">
        <v>3733435100</v>
      </c>
      <c r="Y52" s="1149">
        <v>3646687200</v>
      </c>
      <c r="Z52" s="1149">
        <v>3467891300</v>
      </c>
      <c r="AA52" s="1149">
        <v>3358371800</v>
      </c>
      <c r="AB52" s="1283">
        <v>3611973000</v>
      </c>
      <c r="AC52" s="1284">
        <v>3701690000</v>
      </c>
      <c r="AD52" s="1285">
        <v>4107762500</v>
      </c>
      <c r="AE52" s="1196">
        <f>(AD52/AC52-1)*100</f>
        <v>10.969921846507958</v>
      </c>
      <c r="AF52" s="1189">
        <f>IF(ISERROR(((AD52/T52)^(1/10)-1)*100),"-",((AD52/T52)^(1/10)-1)*100)</f>
        <v>5.502362188512655</v>
      </c>
    </row>
    <row r="53" spans="19:33">
      <c r="S53" s="1263" t="s">
        <v>843</v>
      </c>
      <c r="T53" s="1195">
        <v>422180</v>
      </c>
      <c r="U53" s="1195">
        <v>421681</v>
      </c>
      <c r="V53" s="1195">
        <v>484381</v>
      </c>
      <c r="W53" s="1149">
        <v>547506</v>
      </c>
      <c r="X53" s="1149">
        <v>570806</v>
      </c>
      <c r="Y53" s="1149">
        <v>498651</v>
      </c>
      <c r="Z53" s="1149">
        <v>423500</v>
      </c>
      <c r="AA53" s="1149">
        <v>428381</v>
      </c>
      <c r="AB53" s="1283">
        <v>437876</v>
      </c>
      <c r="AC53" s="1284">
        <v>423671</v>
      </c>
      <c r="AD53" s="1285">
        <v>450446</v>
      </c>
      <c r="AE53" s="1196">
        <f>(AD53/AC53-1)*100</f>
        <v>6.3197622683639043</v>
      </c>
      <c r="AF53" s="1189">
        <f>IF(ISERROR(((AD53/T53)^(1/10)-1)*100),"-",((AD53/T53)^(1/10)-1)*100)</f>
        <v>0.6501688776980652</v>
      </c>
      <c r="AG53" s="1133" t="s">
        <v>848</v>
      </c>
    </row>
    <row r="54" spans="19:33" ht="13.5" thickBot="1">
      <c r="S54" s="1157" t="s">
        <v>844</v>
      </c>
      <c r="T54" s="1286">
        <v>313737</v>
      </c>
      <c r="U54" s="1286">
        <v>321391</v>
      </c>
      <c r="V54" s="1286">
        <v>387366</v>
      </c>
      <c r="W54" s="825">
        <v>447061</v>
      </c>
      <c r="X54" s="825">
        <v>456963</v>
      </c>
      <c r="Y54" s="825">
        <v>408120</v>
      </c>
      <c r="Z54" s="825">
        <v>377018</v>
      </c>
      <c r="AA54" s="825">
        <v>381568</v>
      </c>
      <c r="AB54" s="1269">
        <v>385335</v>
      </c>
      <c r="AC54" s="1287">
        <v>376748</v>
      </c>
      <c r="AD54" s="1270">
        <v>397501</v>
      </c>
      <c r="AE54" s="1271">
        <f>(AD54/AC54-1)*100</f>
        <v>5.5084565810568309</v>
      </c>
      <c r="AF54" s="1191">
        <f>IF(ISERROR(((AD54/T54)^(1/10)-1)*100),"-",((AD54/T54)^(1/10)-1)*100)</f>
        <v>2.3946459339388104</v>
      </c>
    </row>
    <row r="56" spans="19:33">
      <c r="S56" s="1288" t="s">
        <v>845</v>
      </c>
      <c r="T56" s="838">
        <f t="shared" ref="T56:AB56" si="33">ROUNDDOWN(T7/T44,0)</f>
        <v>5338</v>
      </c>
      <c r="U56" s="838">
        <f t="shared" si="33"/>
        <v>5282</v>
      </c>
      <c r="V56" s="838">
        <f t="shared" si="33"/>
        <v>5242</v>
      </c>
      <c r="W56" s="838">
        <f t="shared" si="33"/>
        <v>5211</v>
      </c>
      <c r="X56" s="838">
        <f t="shared" si="33"/>
        <v>5146</v>
      </c>
      <c r="Y56" s="838">
        <f t="shared" si="33"/>
        <v>5317</v>
      </c>
      <c r="Z56" s="838">
        <f t="shared" si="33"/>
        <v>5563</v>
      </c>
      <c r="AA56" s="838">
        <f t="shared" si="33"/>
        <v>5600</v>
      </c>
      <c r="AB56" s="838">
        <f t="shared" si="33"/>
        <v>5673</v>
      </c>
      <c r="AC56" s="838">
        <f>ROUNDDOWN(AC7/AC44,0)</f>
        <v>5751</v>
      </c>
      <c r="AD56" s="838">
        <f>ROUNDDOWN(AD7/AD44,0)</f>
        <v>5672</v>
      </c>
      <c r="AE56" s="1289">
        <f>AD56/AC56*100</f>
        <v>98.626325856372816</v>
      </c>
      <c r="AF56" s="1290">
        <f>IF(ISERROR(((AD56/T56)^(1/10)-1)*100),"-",((AD56/T56)^(1/10)-1)*100)</f>
        <v>0.60875279675904892</v>
      </c>
    </row>
    <row r="57" spans="19:33">
      <c r="S57" s="1288" t="s">
        <v>846</v>
      </c>
      <c r="T57" s="838">
        <f t="shared" ref="T57:AD57" si="34">ROUNDDOWN(T8/T45,0)</f>
        <v>7895</v>
      </c>
      <c r="U57" s="838">
        <f t="shared" si="34"/>
        <v>8001</v>
      </c>
      <c r="V57" s="838">
        <f t="shared" si="34"/>
        <v>8104</v>
      </c>
      <c r="W57" s="838">
        <f t="shared" si="34"/>
        <v>8158</v>
      </c>
      <c r="X57" s="838">
        <f t="shared" si="34"/>
        <v>8180</v>
      </c>
      <c r="Y57" s="838">
        <f t="shared" si="34"/>
        <v>8381</v>
      </c>
      <c r="Z57" s="838">
        <f t="shared" si="34"/>
        <v>8442</v>
      </c>
      <c r="AA57" s="838">
        <f t="shared" si="34"/>
        <v>8434</v>
      </c>
      <c r="AB57" s="838">
        <f t="shared" si="34"/>
        <v>8777</v>
      </c>
      <c r="AC57" s="838">
        <f t="shared" si="34"/>
        <v>8706</v>
      </c>
      <c r="AD57" s="838">
        <f t="shared" si="34"/>
        <v>8506</v>
      </c>
      <c r="AE57" s="1289">
        <f>AD57/AC57*100</f>
        <v>97.702733746841261</v>
      </c>
      <c r="AF57" s="1290">
        <f>IF(ISERROR(((AD57/T57)^(1/10)-1)*100),"-",((AD57/T57)^(1/10)-1)*100)</f>
        <v>0.74820667338411084</v>
      </c>
    </row>
    <row r="58" spans="19:33">
      <c r="S58" s="1288" t="s">
        <v>847</v>
      </c>
      <c r="T58" s="838">
        <f t="shared" ref="T58:AD58" si="35">ROUNDDOWN(T9/T45,0)</f>
        <v>11628</v>
      </c>
      <c r="U58" s="838">
        <f t="shared" si="35"/>
        <v>11920</v>
      </c>
      <c r="V58" s="838">
        <f t="shared" si="35"/>
        <v>11808</v>
      </c>
      <c r="W58" s="838">
        <f t="shared" si="35"/>
        <v>12220</v>
      </c>
      <c r="X58" s="838">
        <f t="shared" si="35"/>
        <v>12276</v>
      </c>
      <c r="Y58" s="838">
        <f t="shared" si="35"/>
        <v>12835</v>
      </c>
      <c r="Z58" s="838">
        <f t="shared" si="35"/>
        <v>12911</v>
      </c>
      <c r="AA58" s="838">
        <f t="shared" si="35"/>
        <v>12867</v>
      </c>
      <c r="AB58" s="838">
        <f t="shared" si="35"/>
        <v>13339</v>
      </c>
      <c r="AC58" s="838">
        <f t="shared" si="35"/>
        <v>14223</v>
      </c>
      <c r="AD58" s="838">
        <f t="shared" si="35"/>
        <v>14847</v>
      </c>
      <c r="AE58" s="1289">
        <f>AD58/AC58*100</f>
        <v>104.38726007171483</v>
      </c>
      <c r="AF58" s="1290">
        <f>IF(ISERROR(((AD58/T58)^(1/10)-1)*100),"-",((AD58/T58)^(1/10)-1)*100)</f>
        <v>2.4739244067108812</v>
      </c>
    </row>
    <row r="60" spans="19:33">
      <c r="S60" s="1133" t="s">
        <v>579</v>
      </c>
    </row>
    <row r="61" spans="19:33">
      <c r="S61" s="1133" t="s">
        <v>849</v>
      </c>
    </row>
    <row r="62" spans="19:33">
      <c r="S62" s="1133" t="s">
        <v>850</v>
      </c>
    </row>
    <row r="63" spans="19:33">
      <c r="S63" s="1133" t="s">
        <v>851</v>
      </c>
    </row>
    <row r="64" spans="19:33">
      <c r="S64" s="1133" t="s">
        <v>852</v>
      </c>
    </row>
    <row r="65" spans="19:19">
      <c r="S65" s="1133" t="s">
        <v>853</v>
      </c>
    </row>
    <row r="66" spans="19:19">
      <c r="S66" s="1133" t="s">
        <v>854</v>
      </c>
    </row>
    <row r="67" spans="19:19">
      <c r="S67" s="1133" t="s">
        <v>855</v>
      </c>
    </row>
    <row r="68" spans="19:19">
      <c r="S68" s="1133" t="s">
        <v>856</v>
      </c>
    </row>
    <row r="69" spans="19:19">
      <c r="S69" s="1133" t="s">
        <v>857</v>
      </c>
    </row>
    <row r="70" spans="19:19">
      <c r="S70" s="1133" t="s">
        <v>858</v>
      </c>
    </row>
    <row r="71" spans="19:19">
      <c r="S71" s="1133" t="s">
        <v>859</v>
      </c>
    </row>
    <row r="74" spans="19:19">
      <c r="S74" s="1133" t="s">
        <v>860</v>
      </c>
    </row>
    <row r="76" spans="19:19">
      <c r="S76" s="145" t="s">
        <v>1376</v>
      </c>
    </row>
    <row r="77" spans="19:19">
      <c r="S77" s="1814" t="s">
        <v>1238</v>
      </c>
    </row>
    <row r="78" spans="19:19">
      <c r="S78" s="1146" t="s">
        <v>1239</v>
      </c>
    </row>
  </sheetData>
  <sheetProtection algorithmName="SHA-512" hashValue="XXAmVm2ZMA9HBwGSEtyh8UzRh0qX/yuNieYqIYa0TKTQ8DXVDwsf5vdT2x7Ojbhz8z4fo0IsJo6pFurVbwKXuQ==" saltValue="58BjJWwD0hUFg0UMQAOzfw==" spinCount="100000" sheet="1" objects="1" scenarios="1"/>
  <customSheetViews>
    <customSheetView guid="{06451E13-97D0-44F4-875B-E8D80B2F1CF1}" showPageBreaks="1" fitToPage="1" printArea="1" hiddenRows="1" view="pageBreakPreview" topLeftCell="R25">
      <selection activeCell="AD47" sqref="AD47"/>
      <pageMargins left="0" right="0" top="0" bottom="0" header="0" footer="0"/>
      <printOptions horizontalCentered="1" verticalCentered="1"/>
      <pageSetup paperSize="9" scale="71" orientation="landscape" r:id="rId1"/>
      <headerFooter scaleWithDoc="0" alignWithMargins="0">
        <oddFooter>&amp;C&amp;"Arial,標準"&amp;12 13</oddFooter>
      </headerFooter>
    </customSheetView>
  </customSheetViews>
  <mergeCells count="49">
    <mergeCell ref="W16:W17"/>
    <mergeCell ref="X16:X17"/>
    <mergeCell ref="AC16:AC17"/>
    <mergeCell ref="AD16:AD17"/>
    <mergeCell ref="Y16:Y17"/>
    <mergeCell ref="Z16:Z17"/>
    <mergeCell ref="AA16:AA17"/>
    <mergeCell ref="AB16:AB17"/>
    <mergeCell ref="S16:S17"/>
    <mergeCell ref="T16:T17"/>
    <mergeCell ref="U16:U17"/>
    <mergeCell ref="V16:V17"/>
    <mergeCell ref="S5:S6"/>
    <mergeCell ref="B5:C6"/>
    <mergeCell ref="H5:H6"/>
    <mergeCell ref="G5:G6"/>
    <mergeCell ref="F5:F6"/>
    <mergeCell ref="E5:E6"/>
    <mergeCell ref="J5:J6"/>
    <mergeCell ref="I5:I6"/>
    <mergeCell ref="D5:D6"/>
    <mergeCell ref="N5:N6"/>
    <mergeCell ref="M5:M6"/>
    <mergeCell ref="L5:L6"/>
    <mergeCell ref="K5:K6"/>
    <mergeCell ref="N28:N29"/>
    <mergeCell ref="M28:M29"/>
    <mergeCell ref="L28:L29"/>
    <mergeCell ref="K28:K29"/>
    <mergeCell ref="N36:N37"/>
    <mergeCell ref="M36:M37"/>
    <mergeCell ref="L36:L37"/>
    <mergeCell ref="K36:K37"/>
    <mergeCell ref="B36:C37"/>
    <mergeCell ref="J28:J29"/>
    <mergeCell ref="I28:I29"/>
    <mergeCell ref="H28:H29"/>
    <mergeCell ref="G28:G29"/>
    <mergeCell ref="E28:E29"/>
    <mergeCell ref="D28:D29"/>
    <mergeCell ref="B28:C29"/>
    <mergeCell ref="J36:J37"/>
    <mergeCell ref="E36:E37"/>
    <mergeCell ref="D36:D37"/>
    <mergeCell ref="G36:G37"/>
    <mergeCell ref="I36:I37"/>
    <mergeCell ref="H36:H37"/>
    <mergeCell ref="F36:F37"/>
    <mergeCell ref="F28:F29"/>
  </mergeCells>
  <phoneticPr fontId="17"/>
  <conditionalFormatting sqref="T13:AD13">
    <cfRule type="cellIs" dxfId="39" priority="1" stopIfTrue="1" operator="notEqual">
      <formula>SUM(T7:T12)</formula>
    </cfRule>
  </conditionalFormatting>
  <printOptions horizontalCentered="1" verticalCentered="1"/>
  <pageMargins left="0" right="0" top="0" bottom="0" header="0" footer="0"/>
  <pageSetup paperSize="9" scale="72" orientation="landscape" r:id="rId2"/>
  <headerFooter scaleWithDoc="0" alignWithMargins="0">
    <oddFooter>&amp;C&amp;"Arial,標準"&amp;12 13</oddFooter>
  </headerFooter>
  <drawing r:id="rId3"/>
  <legacy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J42"/>
  <sheetViews>
    <sheetView view="pageBreakPreview" zoomScale="70" zoomScaleNormal="100" zoomScaleSheetLayoutView="70" workbookViewId="0">
      <selection activeCell="A23" sqref="A23"/>
    </sheetView>
  </sheetViews>
  <sheetFormatPr defaultColWidth="9.85546875" defaultRowHeight="12"/>
  <cols>
    <col min="1" max="1" width="10.85546875" style="1293" customWidth="1"/>
    <col min="2" max="2" width="28.5703125" style="1293" customWidth="1"/>
    <col min="3" max="15" width="9.85546875" style="1293" customWidth="1"/>
    <col min="16" max="16" width="11.140625" style="1293" customWidth="1"/>
    <col min="17" max="17" width="9" style="1293" hidden="1" customWidth="1"/>
    <col min="18" max="18" width="22.140625" style="1293" hidden="1" customWidth="1"/>
    <col min="19" max="30" width="9.85546875" style="1293" hidden="1" customWidth="1"/>
    <col min="31" max="31" width="12.42578125" style="1293" hidden="1" customWidth="1"/>
    <col min="32" max="40" width="0" style="1293" hidden="1" customWidth="1"/>
    <col min="41" max="16384" width="9.85546875" style="1293"/>
  </cols>
  <sheetData>
    <row r="1" spans="1:36" ht="52.5" customHeight="1"/>
    <row r="2" spans="1:36" ht="16.5">
      <c r="A2" s="1294"/>
    </row>
    <row r="4" spans="1:36" ht="18.75" customHeight="1" thickBot="1">
      <c r="B4" s="906"/>
      <c r="C4" s="906"/>
      <c r="D4" s="906"/>
      <c r="E4" s="906"/>
      <c r="F4" s="906"/>
      <c r="G4" s="906"/>
      <c r="H4" s="906"/>
      <c r="I4" s="906"/>
      <c r="J4" s="906"/>
      <c r="K4" s="906"/>
      <c r="L4" s="906"/>
      <c r="M4" s="783"/>
      <c r="N4" s="783"/>
      <c r="O4" s="1797" t="s">
        <v>1674</v>
      </c>
      <c r="S4" s="1295"/>
      <c r="T4" s="1295"/>
      <c r="U4" s="1295"/>
      <c r="V4" s="1295"/>
      <c r="W4" s="1295"/>
      <c r="X4" s="1295"/>
      <c r="Y4" s="1295"/>
      <c r="Z4" s="1295"/>
      <c r="AA4" s="1295"/>
      <c r="AB4" s="923"/>
      <c r="AC4" s="923"/>
      <c r="AD4" s="923"/>
      <c r="AE4" s="923"/>
    </row>
    <row r="5" spans="1:36" ht="24" customHeight="1">
      <c r="B5" s="2451"/>
      <c r="C5" s="2453" t="str">
        <f>S5</f>
        <v>2016.3</v>
      </c>
      <c r="D5" s="2206" t="str">
        <f t="shared" ref="D5:M5" si="0">T5</f>
        <v>2017.3</v>
      </c>
      <c r="E5" s="2206" t="str">
        <f t="shared" si="0"/>
        <v>2018.3</v>
      </c>
      <c r="F5" s="2206" t="str">
        <f t="shared" si="0"/>
        <v>2019.3</v>
      </c>
      <c r="G5" s="2206" t="str">
        <f t="shared" si="0"/>
        <v>2020.3</v>
      </c>
      <c r="H5" s="2206" t="str">
        <f t="shared" si="0"/>
        <v>2021.3</v>
      </c>
      <c r="I5" s="2206" t="str">
        <f t="shared" si="0"/>
        <v>2022.3</v>
      </c>
      <c r="J5" s="2206" t="str">
        <f t="shared" si="0"/>
        <v>2023.3</v>
      </c>
      <c r="K5" s="2206" t="str">
        <f t="shared" si="0"/>
        <v>2024.3</v>
      </c>
      <c r="L5" s="2206" t="str">
        <f t="shared" si="0"/>
        <v>2025.3</v>
      </c>
      <c r="M5" s="2306" t="str">
        <f t="shared" si="0"/>
        <v>2026.3</v>
      </c>
      <c r="N5" s="912" t="s">
        <v>638</v>
      </c>
      <c r="O5" s="913" t="s">
        <v>558</v>
      </c>
      <c r="R5" s="2483" t="s">
        <v>861</v>
      </c>
      <c r="S5" s="1141" t="s">
        <v>1612</v>
      </c>
      <c r="T5" s="1141" t="s">
        <v>1622</v>
      </c>
      <c r="U5" s="1141" t="s">
        <v>1614</v>
      </c>
      <c r="V5" s="1141" t="s">
        <v>1616</v>
      </c>
      <c r="W5" s="1141" t="s">
        <v>1615</v>
      </c>
      <c r="X5" s="1141" t="s">
        <v>1617</v>
      </c>
      <c r="Y5" s="1141" t="s">
        <v>1623</v>
      </c>
      <c r="Z5" s="1141" t="s">
        <v>1619</v>
      </c>
      <c r="AA5" s="1140" t="s">
        <v>1624</v>
      </c>
      <c r="AB5" s="1199" t="s">
        <v>1625</v>
      </c>
      <c r="AC5" s="1296" t="s">
        <v>1611</v>
      </c>
      <c r="AD5" s="1297" t="s">
        <v>536</v>
      </c>
      <c r="AE5" s="1298" t="s">
        <v>537</v>
      </c>
      <c r="AF5" s="1299" t="s">
        <v>862</v>
      </c>
    </row>
    <row r="6" spans="1:36" ht="18.95" customHeight="1" thickBot="1">
      <c r="B6" s="2452"/>
      <c r="C6" s="2207"/>
      <c r="D6" s="2207"/>
      <c r="E6" s="2207"/>
      <c r="F6" s="2207"/>
      <c r="G6" s="2207"/>
      <c r="H6" s="2207"/>
      <c r="I6" s="2207"/>
      <c r="J6" s="2207"/>
      <c r="K6" s="2207"/>
      <c r="L6" s="2207"/>
      <c r="M6" s="2450"/>
      <c r="N6" s="1200" t="s">
        <v>511</v>
      </c>
      <c r="O6" s="1201" t="s">
        <v>509</v>
      </c>
      <c r="R6" s="2484"/>
      <c r="S6" s="1145"/>
      <c r="T6" s="1145"/>
      <c r="U6" s="1145"/>
      <c r="V6" s="1145"/>
      <c r="W6" s="1145"/>
      <c r="X6" s="1145"/>
      <c r="Y6" s="1145"/>
      <c r="Z6" s="1145"/>
      <c r="AA6" s="1144"/>
      <c r="AB6" s="1300"/>
      <c r="AC6" s="1301"/>
      <c r="AD6" s="1302" t="s">
        <v>373</v>
      </c>
      <c r="AE6" s="859" t="s">
        <v>5</v>
      </c>
      <c r="AF6" s="1299" t="s">
        <v>863</v>
      </c>
      <c r="AG6" s="1293" t="s">
        <v>864</v>
      </c>
    </row>
    <row r="7" spans="1:36" ht="30" customHeight="1" thickTop="1">
      <c r="B7" s="1812" t="s">
        <v>1235</v>
      </c>
      <c r="C7" s="1066">
        <f t="shared" ref="C7:N7" si="1">S7</f>
        <v>422180</v>
      </c>
      <c r="D7" s="1066">
        <f t="shared" si="1"/>
        <v>421681</v>
      </c>
      <c r="E7" s="1066">
        <f t="shared" si="1"/>
        <v>484381</v>
      </c>
      <c r="F7" s="1066">
        <f t="shared" si="1"/>
        <v>547506</v>
      </c>
      <c r="G7" s="1081">
        <f t="shared" si="1"/>
        <v>570806</v>
      </c>
      <c r="H7" s="1081">
        <f t="shared" si="1"/>
        <v>498651</v>
      </c>
      <c r="I7" s="1081">
        <f t="shared" si="1"/>
        <v>423500</v>
      </c>
      <c r="J7" s="1081">
        <f t="shared" si="1"/>
        <v>428381</v>
      </c>
      <c r="K7" s="1081">
        <f t="shared" si="1"/>
        <v>437876</v>
      </c>
      <c r="L7" s="1081">
        <f t="shared" si="1"/>
        <v>423671</v>
      </c>
      <c r="M7" s="1081">
        <f t="shared" si="1"/>
        <v>450446</v>
      </c>
      <c r="N7" s="1147">
        <f t="shared" si="1"/>
        <v>6.3197622683639043</v>
      </c>
      <c r="O7" s="1147">
        <f>AE7</f>
        <v>0.6501688776980652</v>
      </c>
      <c r="R7" s="1303" t="s">
        <v>865</v>
      </c>
      <c r="S7" s="1304">
        <v>422180</v>
      </c>
      <c r="T7" s="1304">
        <v>421681</v>
      </c>
      <c r="U7" s="1305">
        <v>484381</v>
      </c>
      <c r="V7" s="1305">
        <v>547506</v>
      </c>
      <c r="W7" s="1305">
        <v>570806</v>
      </c>
      <c r="X7" s="1305">
        <v>498651</v>
      </c>
      <c r="Y7" s="1305">
        <v>423500</v>
      </c>
      <c r="Z7" s="1305">
        <v>428381</v>
      </c>
      <c r="AA7" s="1306">
        <v>437876</v>
      </c>
      <c r="AB7" s="1307">
        <v>423671</v>
      </c>
      <c r="AC7" s="1308">
        <v>450446</v>
      </c>
      <c r="AD7" s="1309">
        <f>IF(ISERROR((AC7/AB7-1)*100),"-",(AC7/AB7-1)*100)</f>
        <v>6.3197622683639043</v>
      </c>
      <c r="AE7" s="1310">
        <f>IF(ISERROR(((AC7/S7)^(1/10)-1)*100),"-",((AC7/S7)^(1/10)-1)*100)</f>
        <v>0.6501688776980652</v>
      </c>
      <c r="AF7" s="1311">
        <f>'Ⅱ-2-(1)_会場別AA実績'!G27</f>
        <v>423671</v>
      </c>
      <c r="AG7" s="1293">
        <f>'Ⅱ-2-(1)_会場別AA実績'!F27</f>
        <v>450446</v>
      </c>
      <c r="AH7" s="1293">
        <f>AF7-AB7</f>
        <v>0</v>
      </c>
      <c r="AI7" s="1293">
        <f>AG7-AC7</f>
        <v>0</v>
      </c>
    </row>
    <row r="8" spans="1:36" ht="30" customHeight="1">
      <c r="B8" s="1812" t="s">
        <v>1236</v>
      </c>
      <c r="C8" s="1066">
        <f t="shared" ref="C8:M8" si="2">S8</f>
        <v>313737</v>
      </c>
      <c r="D8" s="1066">
        <f t="shared" si="2"/>
        <v>321391</v>
      </c>
      <c r="E8" s="1066">
        <f t="shared" si="2"/>
        <v>387366</v>
      </c>
      <c r="F8" s="1066">
        <f t="shared" si="2"/>
        <v>447061</v>
      </c>
      <c r="G8" s="1081">
        <f t="shared" si="2"/>
        <v>456963</v>
      </c>
      <c r="H8" s="1081">
        <f t="shared" si="2"/>
        <v>408120</v>
      </c>
      <c r="I8" s="1081">
        <f t="shared" si="2"/>
        <v>377018</v>
      </c>
      <c r="J8" s="1081">
        <f t="shared" si="2"/>
        <v>381568</v>
      </c>
      <c r="K8" s="1081">
        <f t="shared" si="2"/>
        <v>385335</v>
      </c>
      <c r="L8" s="1081">
        <f t="shared" si="2"/>
        <v>376748</v>
      </c>
      <c r="M8" s="1081">
        <f t="shared" si="2"/>
        <v>397501</v>
      </c>
      <c r="N8" s="1147">
        <f>AD8</f>
        <v>5.5084565810568309</v>
      </c>
      <c r="O8" s="1125">
        <f>AE8</f>
        <v>2.3946459339388104</v>
      </c>
      <c r="R8" s="1303" t="s">
        <v>866</v>
      </c>
      <c r="S8" s="1304">
        <v>313737</v>
      </c>
      <c r="T8" s="1304">
        <v>321391</v>
      </c>
      <c r="U8" s="1305">
        <v>387366</v>
      </c>
      <c r="V8" s="1305">
        <v>447061</v>
      </c>
      <c r="W8" s="1305">
        <v>456963</v>
      </c>
      <c r="X8" s="1305">
        <v>408120</v>
      </c>
      <c r="Y8" s="1305">
        <v>377018</v>
      </c>
      <c r="Z8" s="1305">
        <v>381568</v>
      </c>
      <c r="AA8" s="1306">
        <v>385335</v>
      </c>
      <c r="AB8" s="1307">
        <v>376748</v>
      </c>
      <c r="AC8" s="1308">
        <v>397501</v>
      </c>
      <c r="AD8" s="1309">
        <f>IF(ISERROR((AC8/AB8-1)*100),"-",(AC8/AB8-1)*100)</f>
        <v>5.5084565810568309</v>
      </c>
      <c r="AE8" s="1310">
        <f>IF(ISERROR(((AC8/S8)^(1/10)-1)*100),"-",((AC8/S8)^(1/10)-1)*100)</f>
        <v>2.3946459339388104</v>
      </c>
      <c r="AF8" s="1311">
        <f>'Ⅱ-2-(1)_会場別AA実績'!J27</f>
        <v>376748</v>
      </c>
      <c r="AG8" s="1293">
        <f>'Ⅱ-2-(1)_会場別AA実績'!I27</f>
        <v>397501</v>
      </c>
      <c r="AH8" s="1293">
        <f>AF8-AB8</f>
        <v>0</v>
      </c>
      <c r="AI8" s="1293">
        <f>AG8-AC8</f>
        <v>0</v>
      </c>
    </row>
    <row r="9" spans="1:36" ht="30" customHeight="1" thickBot="1">
      <c r="B9" s="1813" t="s">
        <v>1237</v>
      </c>
      <c r="C9" s="1312">
        <f t="shared" ref="C9:M9" si="3">S9</f>
        <v>74.313562935240896</v>
      </c>
      <c r="D9" s="1312">
        <f t="shared" si="3"/>
        <v>76.216618723632322</v>
      </c>
      <c r="E9" s="1312">
        <f t="shared" si="3"/>
        <v>79.971344871082877</v>
      </c>
      <c r="F9" s="1312">
        <f t="shared" si="3"/>
        <v>81.654082329691363</v>
      </c>
      <c r="G9" s="1313">
        <f t="shared" si="3"/>
        <v>80.05574573497826</v>
      </c>
      <c r="H9" s="1313">
        <f t="shared" si="3"/>
        <v>81.844817317121596</v>
      </c>
      <c r="I9" s="1313">
        <f t="shared" si="3"/>
        <v>89.024321133412045</v>
      </c>
      <c r="J9" s="1313">
        <f t="shared" si="3"/>
        <v>89.072111041339369</v>
      </c>
      <c r="K9" s="1313">
        <f t="shared" si="3"/>
        <v>88.000940905644526</v>
      </c>
      <c r="L9" s="1313">
        <f t="shared" si="3"/>
        <v>88.924660880730571</v>
      </c>
      <c r="M9" s="1312">
        <f t="shared" si="3"/>
        <v>88.246093871407453</v>
      </c>
      <c r="N9" s="1292" t="str">
        <f>AD9</f>
        <v>-</v>
      </c>
      <c r="O9" s="1292" t="str">
        <f>AE9</f>
        <v>-</v>
      </c>
      <c r="R9" s="1314" t="s">
        <v>867</v>
      </c>
      <c r="S9" s="1315">
        <f>IF(S7="-","-",S8/S7*100)</f>
        <v>74.313562935240896</v>
      </c>
      <c r="T9" s="1315">
        <f t="shared" ref="T9:AC9" si="4">IF(T7="-","-",T8/T7*100)</f>
        <v>76.216618723632322</v>
      </c>
      <c r="U9" s="1315">
        <f t="shared" si="4"/>
        <v>79.971344871082877</v>
      </c>
      <c r="V9" s="1315">
        <f t="shared" si="4"/>
        <v>81.654082329691363</v>
      </c>
      <c r="W9" s="1315">
        <f t="shared" si="4"/>
        <v>80.05574573497826</v>
      </c>
      <c r="X9" s="1315">
        <f t="shared" si="4"/>
        <v>81.844817317121596</v>
      </c>
      <c r="Y9" s="1315">
        <f t="shared" si="4"/>
        <v>89.024321133412045</v>
      </c>
      <c r="Z9" s="1315">
        <f t="shared" si="4"/>
        <v>89.072111041339369</v>
      </c>
      <c r="AA9" s="1315">
        <f t="shared" si="4"/>
        <v>88.000940905644526</v>
      </c>
      <c r="AB9" s="1316">
        <f t="shared" si="4"/>
        <v>88.924660880730571</v>
      </c>
      <c r="AC9" s="1317">
        <f t="shared" si="4"/>
        <v>88.246093871407453</v>
      </c>
      <c r="AD9" s="1318" t="s">
        <v>68</v>
      </c>
      <c r="AE9" s="1319" t="s">
        <v>372</v>
      </c>
      <c r="AF9" s="1293" t="s">
        <v>868</v>
      </c>
    </row>
    <row r="10" spans="1:36" ht="12" customHeight="1">
      <c r="B10" s="1341"/>
      <c r="S10" s="1321"/>
      <c r="T10" s="1321"/>
    </row>
    <row r="11" spans="1:36" ht="12" customHeight="1">
      <c r="B11" s="1018"/>
      <c r="S11" s="1321"/>
      <c r="T11" s="1321"/>
    </row>
    <row r="12" spans="1:36" ht="12" customHeight="1">
      <c r="B12" s="974"/>
      <c r="R12" s="1322" t="s">
        <v>869</v>
      </c>
      <c r="S12" s="1323" t="str">
        <f t="shared" ref="S12:AC12" si="5">S5</f>
        <v>2016.3</v>
      </c>
      <c r="T12" s="1323" t="str">
        <f t="shared" si="5"/>
        <v>2017.3</v>
      </c>
      <c r="U12" s="1323" t="str">
        <f t="shared" si="5"/>
        <v>2018.3</v>
      </c>
      <c r="V12" s="1323" t="str">
        <f t="shared" si="5"/>
        <v>2019.3</v>
      </c>
      <c r="W12" s="1323" t="str">
        <f t="shared" si="5"/>
        <v>2020.3</v>
      </c>
      <c r="X12" s="1323" t="str">
        <f t="shared" si="5"/>
        <v>2021.3</v>
      </c>
      <c r="Y12" s="1323" t="str">
        <f t="shared" si="5"/>
        <v>2022.3</v>
      </c>
      <c r="Z12" s="1323" t="str">
        <f t="shared" si="5"/>
        <v>2023.3</v>
      </c>
      <c r="AA12" s="1323" t="str">
        <f t="shared" si="5"/>
        <v>2024.3</v>
      </c>
      <c r="AB12" s="1323" t="str">
        <f t="shared" si="5"/>
        <v>2025.3</v>
      </c>
      <c r="AC12" s="1324" t="str">
        <f t="shared" si="5"/>
        <v>2026.3</v>
      </c>
      <c r="AE12" s="1012"/>
    </row>
    <row r="13" spans="1:36" ht="12" customHeight="1">
      <c r="B13" s="1338"/>
      <c r="R13" s="1305" t="s">
        <v>870</v>
      </c>
      <c r="S13" s="923">
        <f>'Ⅲ-1-(2)_AAｾｸﾞﾒﾝﾄ売上推移'!T27</f>
        <v>2394009</v>
      </c>
      <c r="T13" s="1325">
        <f>'Ⅲ-1-(2)_AAｾｸﾞﾒﾝﾄ売上推移'!U27</f>
        <v>2353536</v>
      </c>
      <c r="U13" s="1325">
        <f>'Ⅲ-1-(2)_AAｾｸﾞﾒﾝﾄ売上推移'!V27</f>
        <v>2700010</v>
      </c>
      <c r="V13" s="1325">
        <f>'Ⅲ-1-(2)_AAｾｸﾞﾒﾝﾄ売上推移'!W27</f>
        <v>2930127</v>
      </c>
      <c r="W13" s="1325">
        <f>'Ⅲ-1-(2)_AAｾｸﾞﾒﾝﾄ売上推移'!X27</f>
        <v>2924052</v>
      </c>
      <c r="X13" s="1325">
        <f>'Ⅲ-1-(2)_AAｾｸﾞﾒﾝﾄ売上推移'!Y27</f>
        <v>2661084</v>
      </c>
      <c r="Y13" s="1325">
        <f>'Ⅲ-1-(2)_AAｾｸﾞﾒﾝﾄ売上推移'!Z27</f>
        <v>2731669</v>
      </c>
      <c r="Z13" s="1325">
        <f>'Ⅲ-1-(2)_AAｾｸﾞﾒﾝﾄ売上推移'!AA27</f>
        <v>2958598</v>
      </c>
      <c r="AA13" s="1325">
        <f>'Ⅲ-1-(2)_AAｾｸﾞﾒﾝﾄ売上推移'!AB27</f>
        <v>3084529</v>
      </c>
      <c r="AB13" s="1325">
        <f>'Ⅲ-1-(2)_AAｾｸﾞﾒﾝﾄ売上推移'!AC27</f>
        <v>3202002</v>
      </c>
      <c r="AC13" s="1325">
        <f>'Ⅲ-1-(2)_AAｾｸﾞﾒﾝﾄ売上推移'!AD27</f>
        <v>3504437</v>
      </c>
      <c r="AE13" s="1293">
        <f>'Ⅱ-2-(2)_AA実績月次推移'!R11</f>
        <v>3504437</v>
      </c>
    </row>
    <row r="14" spans="1:36" ht="15.95" customHeight="1">
      <c r="B14" s="906"/>
      <c r="C14" s="1320"/>
      <c r="D14" s="1320"/>
      <c r="E14" s="1320"/>
      <c r="F14" s="1320"/>
      <c r="G14" s="1320"/>
      <c r="H14" s="1320"/>
      <c r="I14" s="1320"/>
      <c r="J14" s="1320"/>
      <c r="K14" s="1320"/>
      <c r="L14" s="1320"/>
      <c r="M14" s="714"/>
      <c r="R14" s="1305" t="s">
        <v>871</v>
      </c>
      <c r="S14" s="953">
        <f t="shared" ref="S14:AB14" si="6">S7</f>
        <v>422180</v>
      </c>
      <c r="T14" s="1304">
        <f t="shared" si="6"/>
        <v>421681</v>
      </c>
      <c r="U14" s="1304">
        <f t="shared" si="6"/>
        <v>484381</v>
      </c>
      <c r="V14" s="1304">
        <f t="shared" si="6"/>
        <v>547506</v>
      </c>
      <c r="W14" s="1305">
        <f t="shared" si="6"/>
        <v>570806</v>
      </c>
      <c r="X14" s="1305">
        <f t="shared" si="6"/>
        <v>498651</v>
      </c>
      <c r="Y14" s="1305">
        <f t="shared" si="6"/>
        <v>423500</v>
      </c>
      <c r="Z14" s="1305">
        <f t="shared" si="6"/>
        <v>428381</v>
      </c>
      <c r="AA14" s="1305">
        <f t="shared" si="6"/>
        <v>437876</v>
      </c>
      <c r="AB14" s="1305">
        <f t="shared" si="6"/>
        <v>423671</v>
      </c>
      <c r="AC14" s="1326">
        <f>AC7</f>
        <v>450446</v>
      </c>
      <c r="AE14" s="1293">
        <f>'Ⅲ-1-(3)_AAｾｸﾞﾒﾝﾄ売上内訳'!AD53</f>
        <v>450446</v>
      </c>
      <c r="AG14" s="923"/>
      <c r="AH14" s="923"/>
      <c r="AI14" s="923"/>
      <c r="AJ14" s="923"/>
    </row>
    <row r="15" spans="1:36" ht="15.95" customHeight="1">
      <c r="B15" s="714"/>
      <c r="C15" s="1320"/>
      <c r="D15" s="1320"/>
      <c r="E15" s="1320"/>
      <c r="F15" s="1320"/>
      <c r="G15" s="1320"/>
      <c r="H15" s="1320"/>
      <c r="I15" s="1320"/>
      <c r="J15" s="1320"/>
      <c r="K15" s="1320"/>
      <c r="L15" s="1320"/>
      <c r="M15" s="714"/>
      <c r="R15" s="1327" t="s">
        <v>872</v>
      </c>
      <c r="S15" s="1328">
        <f t="shared" ref="S15:AB15" si="7">IF(S7="-","-",ROUND(S14/S13*100,1))</f>
        <v>17.600000000000001</v>
      </c>
      <c r="T15" s="1329">
        <f t="shared" si="7"/>
        <v>17.899999999999999</v>
      </c>
      <c r="U15" s="1329">
        <f t="shared" si="7"/>
        <v>17.899999999999999</v>
      </c>
      <c r="V15" s="1329">
        <f t="shared" si="7"/>
        <v>18.7</v>
      </c>
      <c r="W15" s="1329">
        <f t="shared" si="7"/>
        <v>19.5</v>
      </c>
      <c r="X15" s="1329">
        <f t="shared" si="7"/>
        <v>18.7</v>
      </c>
      <c r="Y15" s="1329">
        <f t="shared" si="7"/>
        <v>15.5</v>
      </c>
      <c r="Z15" s="1329">
        <f t="shared" si="7"/>
        <v>14.5</v>
      </c>
      <c r="AA15" s="1329">
        <f t="shared" si="7"/>
        <v>14.2</v>
      </c>
      <c r="AB15" s="1329">
        <f t="shared" si="7"/>
        <v>13.2</v>
      </c>
      <c r="AC15" s="1329">
        <f>IF(AC7="-","-",ROUND(AC14/AC13*100,1))</f>
        <v>12.9</v>
      </c>
      <c r="AD15" s="1293" t="s">
        <v>868</v>
      </c>
      <c r="AG15" s="1330"/>
      <c r="AH15" s="1330"/>
      <c r="AI15" s="1330"/>
      <c r="AJ15" s="1330"/>
    </row>
    <row r="16" spans="1:36" ht="15.95" customHeight="1">
      <c r="P16" s="2060"/>
      <c r="AG16" s="923"/>
      <c r="AH16" s="923"/>
      <c r="AI16" s="923"/>
      <c r="AJ16" s="923"/>
    </row>
    <row r="17" spans="18:36" ht="15.95" customHeight="1">
      <c r="AG17" s="923"/>
      <c r="AH17" s="923"/>
      <c r="AI17" s="923"/>
      <c r="AJ17" s="923"/>
    </row>
    <row r="18" spans="18:36" ht="15.95" customHeight="1">
      <c r="R18" s="1293" t="s">
        <v>873</v>
      </c>
      <c r="AG18" s="923"/>
      <c r="AH18" s="923"/>
      <c r="AI18" s="923"/>
      <c r="AJ18" s="923"/>
    </row>
    <row r="19" spans="18:36" ht="15.95" customHeight="1">
      <c r="R19" s="1293" t="s">
        <v>874</v>
      </c>
      <c r="AG19" s="923"/>
      <c r="AH19" s="923"/>
      <c r="AI19" s="923"/>
      <c r="AJ19" s="923"/>
    </row>
    <row r="20" spans="18:36" ht="15.95" customHeight="1">
      <c r="R20" s="1293" t="s">
        <v>875</v>
      </c>
      <c r="AG20" s="923"/>
      <c r="AH20" s="923"/>
      <c r="AI20" s="923"/>
      <c r="AJ20" s="923"/>
    </row>
    <row r="21" spans="18:36" ht="15.95" customHeight="1">
      <c r="R21" s="1293" t="s">
        <v>876</v>
      </c>
      <c r="AG21" s="1330"/>
      <c r="AH21" s="1330"/>
      <c r="AI21" s="1330"/>
      <c r="AJ21" s="1330"/>
    </row>
    <row r="22" spans="18:36" ht="15.95" customHeight="1">
      <c r="AF22" s="923"/>
      <c r="AG22" s="923"/>
      <c r="AH22" s="923"/>
      <c r="AI22" s="923"/>
      <c r="AJ22" s="923"/>
    </row>
    <row r="23" spans="18:36" ht="15.95" customHeight="1">
      <c r="R23" s="1331" t="s">
        <v>877</v>
      </c>
      <c r="S23" s="1060" t="s">
        <v>1435</v>
      </c>
      <c r="T23" s="917"/>
      <c r="U23" s="917"/>
      <c r="V23" s="917"/>
      <c r="W23" s="917"/>
      <c r="X23" s="917"/>
      <c r="Y23" s="917"/>
      <c r="Z23" s="917"/>
      <c r="AA23" s="917"/>
      <c r="AB23" s="1332"/>
      <c r="AF23" s="923"/>
      <c r="AG23" s="923"/>
      <c r="AH23" s="923"/>
      <c r="AI23" s="923"/>
      <c r="AJ23" s="1333"/>
    </row>
    <row r="24" spans="18:36" ht="15.95" customHeight="1">
      <c r="R24" s="1334"/>
      <c r="S24" s="1295" t="s">
        <v>878</v>
      </c>
      <c r="T24" s="1295"/>
      <c r="U24" s="1295"/>
      <c r="V24" s="1295"/>
      <c r="W24" s="1295"/>
      <c r="X24" s="1295"/>
      <c r="Y24" s="1295"/>
      <c r="Z24" s="1295"/>
      <c r="AA24" s="1295"/>
      <c r="AB24" s="1335"/>
      <c r="AF24" s="923"/>
      <c r="AG24" s="923"/>
      <c r="AH24" s="923"/>
      <c r="AI24" s="923"/>
      <c r="AJ24" s="923"/>
    </row>
    <row r="25" spans="18:36" ht="15.95" customHeight="1">
      <c r="R25" s="923"/>
      <c r="S25" s="923"/>
      <c r="T25" s="923"/>
      <c r="U25" s="923"/>
      <c r="V25" s="923"/>
      <c r="W25" s="923"/>
      <c r="X25" s="923"/>
      <c r="Y25" s="923"/>
      <c r="Z25" s="923"/>
      <c r="AA25" s="923"/>
      <c r="AB25" s="923"/>
      <c r="AF25" s="923"/>
      <c r="AG25" s="923"/>
      <c r="AH25" s="923"/>
      <c r="AI25" s="923"/>
      <c r="AJ25" s="923"/>
    </row>
    <row r="26" spans="18:36" ht="15.95" customHeight="1">
      <c r="AF26" s="923"/>
      <c r="AG26" s="923"/>
      <c r="AH26" s="923"/>
      <c r="AI26" s="923"/>
      <c r="AJ26" s="923"/>
    </row>
    <row r="27" spans="18:36" ht="15.95" customHeight="1">
      <c r="R27" s="1985" t="s">
        <v>1377</v>
      </c>
      <c r="S27" s="1321"/>
      <c r="T27" s="1321"/>
      <c r="U27" s="1321"/>
      <c r="V27" s="1321"/>
      <c r="W27" s="1321"/>
      <c r="X27" s="1321"/>
      <c r="Y27" s="1321"/>
      <c r="Z27" s="1321"/>
      <c r="AA27" s="1321"/>
      <c r="AB27" s="1336"/>
      <c r="AF27" s="923"/>
      <c r="AG27" s="923"/>
      <c r="AH27" s="923"/>
      <c r="AI27" s="923"/>
      <c r="AJ27" s="923"/>
    </row>
    <row r="28" spans="18:36" ht="15.95" customHeight="1">
      <c r="R28" s="1341" t="s">
        <v>879</v>
      </c>
      <c r="S28" s="1321"/>
      <c r="T28" s="1321"/>
      <c r="AF28" s="1330"/>
      <c r="AG28" s="923"/>
      <c r="AH28" s="923"/>
      <c r="AI28" s="923"/>
      <c r="AJ28" s="923"/>
    </row>
    <row r="29" spans="18:36" ht="15.95" customHeight="1">
      <c r="R29" s="1018" t="s">
        <v>880</v>
      </c>
      <c r="S29" s="1321"/>
      <c r="T29" s="1321"/>
      <c r="AC29" s="1336"/>
      <c r="AD29" s="1336"/>
      <c r="AE29" s="1336"/>
      <c r="AF29" s="923"/>
      <c r="AG29" s="923"/>
      <c r="AH29" s="923"/>
      <c r="AI29" s="923"/>
      <c r="AJ29" s="923"/>
    </row>
    <row r="30" spans="18:36" ht="15.95" customHeight="1">
      <c r="R30" s="974" t="s">
        <v>881</v>
      </c>
      <c r="S30" s="1321"/>
      <c r="T30" s="1321"/>
      <c r="AF30" s="923"/>
      <c r="AG30" s="923"/>
      <c r="AH30" s="923"/>
      <c r="AI30" s="923"/>
      <c r="AJ30" s="923"/>
    </row>
    <row r="31" spans="18:36" ht="15.95" customHeight="1">
      <c r="R31" s="1338" t="s">
        <v>882</v>
      </c>
      <c r="S31" s="1321"/>
      <c r="T31" s="1321"/>
      <c r="AF31" s="923"/>
      <c r="AG31" s="923"/>
      <c r="AH31" s="923"/>
      <c r="AI31" s="923"/>
      <c r="AJ31" s="923"/>
    </row>
    <row r="32" spans="18:36" ht="15.95" customHeight="1">
      <c r="S32" s="1321"/>
      <c r="T32" s="1321"/>
      <c r="AF32" s="923"/>
      <c r="AG32" s="923"/>
      <c r="AH32" s="923"/>
      <c r="AI32" s="923"/>
      <c r="AJ32" s="923"/>
    </row>
    <row r="33" spans="2:36" ht="12" customHeight="1">
      <c r="R33" s="1293" t="s">
        <v>1751</v>
      </c>
      <c r="S33" s="1321"/>
      <c r="T33" s="1321"/>
      <c r="AF33" s="923"/>
      <c r="AG33" s="923"/>
      <c r="AH33" s="923"/>
      <c r="AI33" s="923"/>
      <c r="AJ33" s="923"/>
    </row>
    <row r="34" spans="2:36" ht="12" customHeight="1">
      <c r="S34" s="1321"/>
      <c r="T34" s="1321"/>
      <c r="AF34" s="923"/>
      <c r="AG34" s="923"/>
      <c r="AH34" s="923"/>
      <c r="AI34" s="923"/>
      <c r="AJ34" s="923"/>
    </row>
    <row r="35" spans="2:36" ht="8.1" customHeight="1">
      <c r="S35" s="1321"/>
      <c r="T35" s="1321"/>
      <c r="U35" s="1337"/>
      <c r="V35" s="1337"/>
      <c r="W35" s="1337"/>
      <c r="X35" s="1337"/>
      <c r="Y35" s="1337"/>
      <c r="Z35" s="1337"/>
      <c r="AA35" s="1337"/>
      <c r="AB35" s="1337"/>
      <c r="AF35" s="923"/>
      <c r="AG35" s="923"/>
      <c r="AH35" s="923"/>
      <c r="AI35" s="923"/>
      <c r="AJ35" s="923"/>
    </row>
    <row r="36" spans="2:36">
      <c r="AF36" s="1339"/>
      <c r="AG36" s="923"/>
      <c r="AH36" s="923"/>
      <c r="AI36" s="923"/>
      <c r="AJ36" s="923"/>
    </row>
    <row r="37" spans="2:36" ht="8.1" customHeight="1">
      <c r="B37" s="1338"/>
      <c r="AF37" s="923"/>
      <c r="AG37" s="923"/>
      <c r="AH37" s="923"/>
      <c r="AI37" s="923"/>
      <c r="AJ37" s="923"/>
    </row>
    <row r="38" spans="2:36">
      <c r="B38" s="1338"/>
      <c r="AF38" s="1339"/>
      <c r="AG38" s="923"/>
      <c r="AH38" s="923"/>
      <c r="AI38" s="923"/>
      <c r="AJ38" s="923"/>
    </row>
    <row r="39" spans="2:36">
      <c r="B39" s="1338"/>
    </row>
    <row r="40" spans="2:36" ht="14.25" customHeight="1">
      <c r="D40" s="1340"/>
    </row>
    <row r="41" spans="2:36" ht="9" customHeight="1"/>
    <row r="42" spans="2:36" ht="14.25" customHeight="1"/>
  </sheetData>
  <sheetProtection algorithmName="SHA-512" hashValue="zaja/as65sfurrWJfcKl4yD/fhD903l40lXXJxIInKzmRmFsJMK2LF5fNPwKKcADZAn/iFH9L9uhNYj+5vbINQ==" saltValue="qmbho+qD1wKrQufuTkx6dg==" spinCount="100000" sheet="1" objects="1" scenarios="1"/>
  <customSheetViews>
    <customSheetView guid="{06451E13-97D0-44F4-875B-E8D80B2F1CF1}" showPageBreaks="1" fitToPage="1" printArea="1" view="pageBreakPreview" topLeftCell="N4">
      <selection activeCell="S13" sqref="S13"/>
      <pageMargins left="0" right="0" top="0" bottom="0" header="0" footer="0"/>
      <printOptions horizontalCentered="1" verticalCentered="1"/>
      <pageSetup paperSize="9" scale="90" orientation="landscape" r:id="rId1"/>
      <headerFooter scaleWithDoc="0" alignWithMargins="0">
        <oddFooter>&amp;C&amp;"Arial,標準"&amp;12 14</oddFooter>
      </headerFooter>
    </customSheetView>
  </customSheetViews>
  <mergeCells count="13">
    <mergeCell ref="R5:R6"/>
    <mergeCell ref="M5:M6"/>
    <mergeCell ref="L5:L6"/>
    <mergeCell ref="K5:K6"/>
    <mergeCell ref="J5:J6"/>
    <mergeCell ref="C5:C6"/>
    <mergeCell ref="B5:B6"/>
    <mergeCell ref="I5:I6"/>
    <mergeCell ref="H5:H6"/>
    <mergeCell ref="G5:G6"/>
    <mergeCell ref="F5:F6"/>
    <mergeCell ref="D5:D6"/>
    <mergeCell ref="E5:E6"/>
  </mergeCells>
  <phoneticPr fontId="17"/>
  <printOptions horizontalCentered="1" verticalCentered="1"/>
  <pageMargins left="0" right="0" top="0" bottom="0" header="0" footer="0"/>
  <pageSetup paperSize="9" scale="93" orientation="landscape" r:id="rId2"/>
  <headerFooter scaleWithDoc="0" alignWithMargins="0">
    <oddFooter>&amp;C&amp;"Arial,標準"&amp;12 14</oddFooter>
  </headerFooter>
  <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A1:AL46"/>
  <sheetViews>
    <sheetView view="pageBreakPreview" zoomScale="85" zoomScaleNormal="85" zoomScaleSheetLayoutView="85" workbookViewId="0">
      <selection activeCell="AT40" sqref="AT40"/>
    </sheetView>
  </sheetViews>
  <sheetFormatPr defaultColWidth="9.140625" defaultRowHeight="12.75" outlineLevelRow="1"/>
  <cols>
    <col min="1" max="1" width="10.85546875" style="1343" customWidth="1"/>
    <col min="2" max="2" width="3.140625" style="1343" customWidth="1"/>
    <col min="3" max="3" width="21.140625" style="1343" customWidth="1"/>
    <col min="4" max="4" width="17.42578125" style="1343" customWidth="1"/>
    <col min="5" max="17" width="8.85546875" style="1343" customWidth="1"/>
    <col min="18" max="18" width="10" style="1343" customWidth="1"/>
    <col min="19" max="19" width="8.140625" style="1343" hidden="1" customWidth="1"/>
    <col min="20" max="20" width="4.140625" style="1343" hidden="1" customWidth="1"/>
    <col min="21" max="21" width="16" style="1343" hidden="1" customWidth="1"/>
    <col min="22" max="32" width="10.42578125" style="1343" hidden="1" customWidth="1"/>
    <col min="33" max="33" width="0" style="1343" hidden="1" customWidth="1"/>
    <col min="34" max="34" width="12.85546875" style="1343" hidden="1" customWidth="1"/>
    <col min="35" max="35" width="0" style="1343" hidden="1" customWidth="1"/>
    <col min="36" max="36" width="11" style="1343" hidden="1" customWidth="1"/>
    <col min="37" max="37" width="10.85546875" style="1343" hidden="1" customWidth="1"/>
    <col min="38" max="45" width="0" style="1343" hidden="1" customWidth="1"/>
    <col min="46" max="16384" width="9.140625" style="1343"/>
  </cols>
  <sheetData>
    <row r="1" spans="1:37" ht="53.25" customHeight="1">
      <c r="A1" s="1342"/>
      <c r="B1" s="1342"/>
      <c r="C1" s="1342"/>
      <c r="D1" s="1342"/>
      <c r="E1" s="1342"/>
      <c r="F1" s="1342"/>
      <c r="G1" s="1342"/>
      <c r="H1" s="1342"/>
      <c r="I1" s="1342"/>
      <c r="J1" s="1342"/>
      <c r="K1" s="1342"/>
      <c r="L1" s="1342"/>
      <c r="M1" s="1342"/>
      <c r="N1" s="1342"/>
      <c r="O1" s="1342"/>
      <c r="P1" s="1342"/>
      <c r="Q1" s="1342"/>
      <c r="R1" s="1342"/>
    </row>
    <row r="2" spans="1:37" ht="19.5" customHeight="1">
      <c r="A2" s="1342"/>
      <c r="B2" s="1344"/>
      <c r="C2" s="1345"/>
      <c r="D2" s="1345"/>
      <c r="E2" s="1342"/>
      <c r="F2" s="1342"/>
      <c r="G2" s="1342"/>
      <c r="H2" s="1342"/>
      <c r="I2" s="1342"/>
      <c r="J2" s="1342"/>
      <c r="K2" s="1342"/>
      <c r="L2" s="1342"/>
      <c r="M2" s="1342"/>
      <c r="N2" s="1342"/>
      <c r="O2" s="1342"/>
      <c r="P2" s="1342"/>
      <c r="Q2" s="1342"/>
      <c r="R2" s="1342"/>
    </row>
    <row r="3" spans="1:37" ht="24.75" customHeight="1">
      <c r="A3" s="1342"/>
      <c r="B3" s="1342"/>
      <c r="C3" s="1342"/>
      <c r="D3" s="1342"/>
      <c r="E3" s="1342"/>
      <c r="F3" s="1342"/>
      <c r="G3" s="1342"/>
      <c r="H3" s="1342"/>
      <c r="I3" s="1342"/>
      <c r="J3" s="1342"/>
      <c r="K3" s="1342"/>
      <c r="L3" s="1342"/>
      <c r="M3" s="1342"/>
      <c r="N3" s="1342"/>
      <c r="O3" s="1342"/>
      <c r="P3" s="1342"/>
      <c r="Q3" s="1342"/>
      <c r="R3" s="1342"/>
    </row>
    <row r="4" spans="1:37" ht="22.5" customHeight="1" thickBot="1">
      <c r="A4" s="1342"/>
      <c r="B4" s="1342"/>
      <c r="C4" s="1342"/>
      <c r="D4" s="1342"/>
      <c r="E4" s="1346"/>
      <c r="F4" s="1346"/>
      <c r="G4" s="1346"/>
      <c r="H4" s="1346"/>
      <c r="I4" s="1346"/>
      <c r="J4" s="1342"/>
      <c r="K4" s="1342"/>
      <c r="L4" s="1342"/>
      <c r="M4" s="1342"/>
      <c r="N4" s="1342"/>
      <c r="O4" s="1342"/>
      <c r="P4" s="783"/>
      <c r="Q4" s="1798" t="s">
        <v>1675</v>
      </c>
      <c r="R4" s="1342"/>
    </row>
    <row r="5" spans="1:37" ht="24" customHeight="1">
      <c r="A5" s="1342"/>
      <c r="B5" s="2273"/>
      <c r="C5" s="2273"/>
      <c r="D5" s="2273"/>
      <c r="E5" s="2489" t="str">
        <f>V5</f>
        <v>2016.3</v>
      </c>
      <c r="F5" s="2487" t="str">
        <f t="shared" ref="F5:O5" si="0">W5</f>
        <v>2017.3</v>
      </c>
      <c r="G5" s="2487" t="str">
        <f t="shared" si="0"/>
        <v>2018.3</v>
      </c>
      <c r="H5" s="2487" t="str">
        <f t="shared" si="0"/>
        <v>2019.3</v>
      </c>
      <c r="I5" s="2487" t="str">
        <f t="shared" si="0"/>
        <v>2020.3</v>
      </c>
      <c r="J5" s="2487" t="str">
        <f t="shared" si="0"/>
        <v>2021.3</v>
      </c>
      <c r="K5" s="2487" t="str">
        <f t="shared" si="0"/>
        <v>2022.3</v>
      </c>
      <c r="L5" s="2487" t="str">
        <f t="shared" si="0"/>
        <v>2023.3</v>
      </c>
      <c r="M5" s="2487" t="str">
        <f t="shared" si="0"/>
        <v>2024.3</v>
      </c>
      <c r="N5" s="2487" t="str">
        <f t="shared" si="0"/>
        <v>2025.3</v>
      </c>
      <c r="O5" s="2490" t="str">
        <f t="shared" si="0"/>
        <v>2026.3</v>
      </c>
      <c r="P5" s="912" t="s">
        <v>638</v>
      </c>
      <c r="Q5" s="913" t="s">
        <v>558</v>
      </c>
      <c r="R5" s="1347"/>
      <c r="S5" s="1348"/>
      <c r="T5" s="2498"/>
      <c r="U5" s="2499"/>
      <c r="V5" s="1141" t="s">
        <v>260</v>
      </c>
      <c r="W5" s="1141" t="s">
        <v>261</v>
      </c>
      <c r="X5" s="1141" t="s">
        <v>377</v>
      </c>
      <c r="Y5" s="1141" t="s">
        <v>396</v>
      </c>
      <c r="Z5" s="1141" t="s">
        <v>422</v>
      </c>
      <c r="AA5" s="1141" t="s">
        <v>447</v>
      </c>
      <c r="AB5" s="1140" t="s">
        <v>1089</v>
      </c>
      <c r="AC5" s="1140" t="s">
        <v>1430</v>
      </c>
      <c r="AD5" s="1140" t="s">
        <v>1506</v>
      </c>
      <c r="AE5" s="1199" t="s">
        <v>1626</v>
      </c>
      <c r="AF5" s="1296" t="s">
        <v>1631</v>
      </c>
      <c r="AG5" s="1297" t="s">
        <v>536</v>
      </c>
      <c r="AH5" s="1298" t="s">
        <v>537</v>
      </c>
    </row>
    <row r="6" spans="1:37" ht="18.95" customHeight="1" thickBot="1">
      <c r="A6" s="1342"/>
      <c r="B6" s="2506"/>
      <c r="C6" s="2506"/>
      <c r="D6" s="2506"/>
      <c r="E6" s="2488"/>
      <c r="F6" s="2488"/>
      <c r="G6" s="2488"/>
      <c r="H6" s="2488"/>
      <c r="I6" s="2488"/>
      <c r="J6" s="2488"/>
      <c r="K6" s="2488"/>
      <c r="L6" s="2488"/>
      <c r="M6" s="2488"/>
      <c r="N6" s="2488"/>
      <c r="O6" s="2491"/>
      <c r="P6" s="646" t="s">
        <v>511</v>
      </c>
      <c r="Q6" s="647" t="s">
        <v>509</v>
      </c>
      <c r="R6" s="1347"/>
      <c r="S6" s="1349"/>
      <c r="T6" s="2500"/>
      <c r="U6" s="2501"/>
      <c r="V6" s="1145"/>
      <c r="W6" s="1145"/>
      <c r="X6" s="1145"/>
      <c r="Y6" s="1145"/>
      <c r="Z6" s="1145"/>
      <c r="AA6" s="1145"/>
      <c r="AB6" s="1144"/>
      <c r="AC6" s="1144"/>
      <c r="AD6" s="1144"/>
      <c r="AE6" s="1300"/>
      <c r="AF6" s="1301"/>
      <c r="AG6" s="1302" t="s">
        <v>373</v>
      </c>
      <c r="AH6" s="859" t="s">
        <v>14</v>
      </c>
      <c r="AI6" s="182" t="s">
        <v>1689</v>
      </c>
    </row>
    <row r="7" spans="1:37" ht="20.100000000000001" customHeight="1" thickTop="1">
      <c r="A7" s="1342"/>
      <c r="B7" s="1350" t="s">
        <v>883</v>
      </c>
      <c r="C7" s="1350"/>
      <c r="D7" s="1350"/>
      <c r="E7" s="1416">
        <f t="shared" ref="E7:F9" si="1">V7</f>
        <v>46850</v>
      </c>
      <c r="F7" s="1416">
        <f t="shared" si="1"/>
        <v>47111</v>
      </c>
      <c r="G7" s="1416">
        <f t="shared" ref="G7:Q9" si="2">X7</f>
        <v>47362</v>
      </c>
      <c r="H7" s="1416">
        <f t="shared" si="2"/>
        <v>48723</v>
      </c>
      <c r="I7" s="1416">
        <f t="shared" si="2"/>
        <v>48182</v>
      </c>
      <c r="J7" s="1416">
        <f t="shared" si="2"/>
        <v>48058</v>
      </c>
      <c r="K7" s="1416">
        <f t="shared" si="2"/>
        <v>48362</v>
      </c>
      <c r="L7" s="1416">
        <f t="shared" si="2"/>
        <v>48490</v>
      </c>
      <c r="M7" s="1416">
        <f t="shared" si="2"/>
        <v>48123</v>
      </c>
      <c r="N7" s="1416">
        <f t="shared" si="2"/>
        <v>48160</v>
      </c>
      <c r="O7" s="1416">
        <f t="shared" si="2"/>
        <v>49176</v>
      </c>
      <c r="P7" s="1417">
        <f t="shared" si="2"/>
        <v>2.109634551495021</v>
      </c>
      <c r="Q7" s="1417">
        <f t="shared" si="2"/>
        <v>0.48572273611608985</v>
      </c>
      <c r="R7" s="1347"/>
      <c r="S7" s="1351"/>
      <c r="T7" s="1436" t="s">
        <v>906</v>
      </c>
      <c r="U7" s="1352"/>
      <c r="V7" s="1353">
        <v>46850</v>
      </c>
      <c r="W7" s="1353">
        <v>47111</v>
      </c>
      <c r="X7" s="1353">
        <v>47362</v>
      </c>
      <c r="Y7" s="1353">
        <v>48723</v>
      </c>
      <c r="Z7" s="1354">
        <v>48182</v>
      </c>
      <c r="AA7" s="1353">
        <v>48058</v>
      </c>
      <c r="AB7" s="1353">
        <v>48362</v>
      </c>
      <c r="AC7" s="1353">
        <v>48490</v>
      </c>
      <c r="AD7" s="1353">
        <v>48123</v>
      </c>
      <c r="AE7" s="1355">
        <v>48160</v>
      </c>
      <c r="AF7" s="1356">
        <v>49176</v>
      </c>
      <c r="AG7" s="1357">
        <f>IF(ISERROR((AF7/AE7-1)*100),"-",(AF7/AE7-1)*100)</f>
        <v>2.109634551495021</v>
      </c>
      <c r="AH7" s="1358">
        <f>IF(ISERROR(((AF7/V7)^(1/10)-1)*100),"-",((AF7/V7)^(1/10)-1)*100)</f>
        <v>0.48572273611608985</v>
      </c>
      <c r="AI7" s="2152">
        <f>Ⅰ_主要ﾃﾞｰﾀ!AG31</f>
        <v>49176</v>
      </c>
      <c r="AJ7" s="2152">
        <f>'Ⅲ-2-(4)_来期計画'!U47</f>
        <v>49176</v>
      </c>
      <c r="AK7" s="1343" t="str">
        <f>IF(AND(AF$7=AI$7,AF$7=AJ$7,AI$7=AJ$7),"OK","NG")</f>
        <v>OK</v>
      </c>
    </row>
    <row r="8" spans="1:37" ht="20.100000000000001" customHeight="1">
      <c r="A8" s="1342"/>
      <c r="B8" s="1359" t="s">
        <v>1442</v>
      </c>
      <c r="C8" s="1359"/>
      <c r="D8" s="1359"/>
      <c r="E8" s="1418">
        <f>V8</f>
        <v>29512</v>
      </c>
      <c r="F8" s="1418">
        <f>W8</f>
        <v>29966</v>
      </c>
      <c r="G8" s="1418">
        <f t="shared" si="2"/>
        <v>30337</v>
      </c>
      <c r="H8" s="1418">
        <f t="shared" si="2"/>
        <v>31639</v>
      </c>
      <c r="I8" s="1418">
        <f t="shared" si="2"/>
        <v>31998</v>
      </c>
      <c r="J8" s="1418">
        <f t="shared" si="2"/>
        <v>32538</v>
      </c>
      <c r="K8" s="1418">
        <f t="shared" si="2"/>
        <v>33359</v>
      </c>
      <c r="L8" s="1418">
        <f t="shared" si="2"/>
        <v>33934</v>
      </c>
      <c r="M8" s="1418">
        <f t="shared" si="2"/>
        <v>34367</v>
      </c>
      <c r="N8" s="1418">
        <f t="shared" si="2"/>
        <v>35148</v>
      </c>
      <c r="O8" s="1418">
        <f t="shared" si="2"/>
        <v>36279</v>
      </c>
      <c r="P8" s="1419">
        <f t="shared" si="2"/>
        <v>3.2178217821782207</v>
      </c>
      <c r="Q8" s="1419">
        <f t="shared" si="2"/>
        <v>2.0858775792728546</v>
      </c>
      <c r="R8" s="1347"/>
      <c r="S8" s="1351"/>
      <c r="T8" s="1360" t="s">
        <v>1446</v>
      </c>
      <c r="U8" s="1360"/>
      <c r="V8" s="1361">
        <v>29512</v>
      </c>
      <c r="W8" s="1361">
        <v>29966</v>
      </c>
      <c r="X8" s="1361">
        <v>30337</v>
      </c>
      <c r="Y8" s="1361">
        <v>31639</v>
      </c>
      <c r="Z8" s="1362">
        <v>31998</v>
      </c>
      <c r="AA8" s="1361">
        <v>32538</v>
      </c>
      <c r="AB8" s="1361">
        <v>33359</v>
      </c>
      <c r="AC8" s="1361">
        <v>33934</v>
      </c>
      <c r="AD8" s="1363">
        <v>34367</v>
      </c>
      <c r="AE8" s="1364">
        <v>35148</v>
      </c>
      <c r="AF8" s="1365">
        <v>36279</v>
      </c>
      <c r="AG8" s="1366">
        <f>IF(ISERROR((AF8/AE8-1)*100),"-",(AF8/AE8-1)*100)</f>
        <v>3.2178217821782207</v>
      </c>
      <c r="AH8" s="1367">
        <f>IF(ISERROR(((AF8/V8)^(1/10)-1)*100),"-",((AF8/V8)^(1/10)-1)*100)</f>
        <v>2.0858775792728546</v>
      </c>
      <c r="AI8" s="2152">
        <f>Ⅰ_主要ﾃﾞｰﾀ!AG32</f>
        <v>36279</v>
      </c>
      <c r="AJ8" s="2152">
        <f>'Ⅲ-2-(4)_来期計画'!U48</f>
        <v>36279</v>
      </c>
      <c r="AK8" s="1343" t="str">
        <f>IF(AND(AF$7=AI$7,AF$7=AJ$7,AI$7=AJ$7),"OK","NG")</f>
        <v>OK</v>
      </c>
    </row>
    <row r="9" spans="1:37" ht="20.100000000000001" customHeight="1" thickBot="1">
      <c r="A9" s="1342"/>
      <c r="B9" s="1368" t="s">
        <v>1443</v>
      </c>
      <c r="C9" s="1368"/>
      <c r="D9" s="1369"/>
      <c r="E9" s="1420">
        <f t="shared" si="1"/>
        <v>3101</v>
      </c>
      <c r="F9" s="1420">
        <f t="shared" si="1"/>
        <v>2894</v>
      </c>
      <c r="G9" s="1420">
        <f t="shared" si="2"/>
        <v>2623</v>
      </c>
      <c r="H9" s="1420">
        <f t="shared" si="2"/>
        <v>2468</v>
      </c>
      <c r="I9" s="1420">
        <f t="shared" si="2"/>
        <v>2342</v>
      </c>
      <c r="J9" s="1420">
        <f t="shared" si="2"/>
        <v>2197</v>
      </c>
      <c r="K9" s="1420">
        <f t="shared" si="2"/>
        <v>2081</v>
      </c>
      <c r="L9" s="1420">
        <f t="shared" si="2"/>
        <v>1981</v>
      </c>
      <c r="M9" s="1420">
        <f t="shared" si="2"/>
        <v>1774</v>
      </c>
      <c r="N9" s="1420">
        <f t="shared" si="2"/>
        <v>1964</v>
      </c>
      <c r="O9" s="1420">
        <f t="shared" si="2"/>
        <v>1946</v>
      </c>
      <c r="P9" s="1421">
        <f t="shared" si="2"/>
        <v>-0.9164969450101812</v>
      </c>
      <c r="Q9" s="1421">
        <f t="shared" si="2"/>
        <v>-4.5525990508485386</v>
      </c>
      <c r="R9" s="1342"/>
      <c r="S9" s="1370"/>
      <c r="T9" s="1360" t="s">
        <v>1447</v>
      </c>
      <c r="U9" s="1360"/>
      <c r="V9" s="1361">
        <v>3101</v>
      </c>
      <c r="W9" s="1361">
        <v>2894</v>
      </c>
      <c r="X9" s="1361">
        <v>2623</v>
      </c>
      <c r="Y9" s="1361">
        <v>2468</v>
      </c>
      <c r="Z9" s="1371">
        <v>2342</v>
      </c>
      <c r="AA9" s="1361">
        <v>2197</v>
      </c>
      <c r="AB9" s="1361">
        <v>2081</v>
      </c>
      <c r="AC9" s="1361">
        <v>1981</v>
      </c>
      <c r="AD9" s="1361">
        <v>1774</v>
      </c>
      <c r="AE9" s="1372">
        <v>1964</v>
      </c>
      <c r="AF9" s="1373">
        <v>1946</v>
      </c>
      <c r="AG9" s="1374">
        <f>IF(ISERROR((AF9/AE9-1)*100),"-",(AF9/AE9-1)*100)</f>
        <v>-0.9164969450101812</v>
      </c>
      <c r="AH9" s="1375">
        <f>IF(ISERROR(((AF9/V9)^(1/10)-1)*100),"-",((AF9/V9)^(1/10)-1)*100)</f>
        <v>-4.5525990508485386</v>
      </c>
      <c r="AI9" s="2152">
        <f>Ⅰ_主要ﾃﾞｰﾀ!AG33</f>
        <v>1946</v>
      </c>
      <c r="AJ9" s="2152">
        <f>'Ⅲ-2-(4)_来期計画'!U49</f>
        <v>1946</v>
      </c>
      <c r="AK9" s="1343" t="str">
        <f>IF(AND(AF$7=AI$7,AF$7=AJ$7,AI$7=AJ$7),"OK","NG")</f>
        <v>OK</v>
      </c>
    </row>
    <row r="10" spans="1:37" ht="12" hidden="1" customHeight="1" outlineLevel="1">
      <c r="A10" s="1342"/>
      <c r="B10" s="1376" t="s">
        <v>1240</v>
      </c>
      <c r="C10" s="1376"/>
      <c r="D10" s="1377"/>
      <c r="E10" s="1378"/>
      <c r="F10" s="1378"/>
      <c r="G10" s="1378"/>
      <c r="H10" s="1378"/>
      <c r="I10" s="1378"/>
      <c r="J10" s="1378"/>
      <c r="K10" s="1378"/>
      <c r="L10" s="1378"/>
      <c r="M10" s="1378"/>
      <c r="N10" s="1378"/>
      <c r="O10" s="1378"/>
      <c r="P10" s="1378"/>
      <c r="Q10" s="1378"/>
      <c r="R10" s="1342"/>
      <c r="T10" s="1379"/>
      <c r="U10" s="1379"/>
      <c r="V10" s="1380"/>
      <c r="W10" s="1380"/>
      <c r="X10" s="1380"/>
      <c r="Y10" s="1380"/>
      <c r="Z10" s="1380"/>
      <c r="AA10" s="1380"/>
      <c r="AB10" s="1380"/>
      <c r="AC10" s="1380"/>
      <c r="AD10" s="1380"/>
      <c r="AE10" s="1380"/>
      <c r="AF10" s="1380"/>
      <c r="AG10" s="1380"/>
      <c r="AH10" s="1380"/>
    </row>
    <row r="11" spans="1:37" ht="12" hidden="1" customHeight="1" outlineLevel="1">
      <c r="A11" s="1342"/>
      <c r="B11" s="667" t="s">
        <v>515</v>
      </c>
      <c r="C11" s="667"/>
      <c r="D11" s="1002"/>
      <c r="E11" s="1381"/>
      <c r="F11" s="1381"/>
      <c r="G11" s="1382"/>
      <c r="H11" s="1382"/>
      <c r="I11" s="1382"/>
      <c r="J11" s="1382"/>
      <c r="K11" s="1342"/>
      <c r="L11" s="1342"/>
      <c r="M11" s="1342"/>
      <c r="N11" s="1342"/>
      <c r="O11" s="1342"/>
      <c r="P11" s="1342"/>
      <c r="Q11" s="1342"/>
      <c r="R11" s="1342"/>
    </row>
    <row r="12" spans="1:37" ht="11.25" customHeight="1" collapsed="1">
      <c r="A12" s="1342"/>
      <c r="B12" s="668"/>
      <c r="C12" s="1002"/>
      <c r="D12" s="1002"/>
      <c r="E12" s="1381"/>
      <c r="F12" s="1381"/>
      <c r="G12" s="1382"/>
      <c r="H12" s="1382"/>
      <c r="I12" s="1382"/>
      <c r="J12" s="1382"/>
      <c r="K12" s="1342"/>
      <c r="L12" s="1342"/>
      <c r="M12" s="1342"/>
      <c r="N12" s="1342"/>
      <c r="O12" s="1342"/>
      <c r="P12" s="1342"/>
      <c r="Q12" s="1342"/>
      <c r="R12" s="1342"/>
    </row>
    <row r="13" spans="1:37" ht="12" customHeight="1">
      <c r="A13" s="1342"/>
      <c r="B13" s="668"/>
      <c r="C13" s="1002"/>
      <c r="D13" s="1002"/>
      <c r="E13" s="1381"/>
      <c r="F13" s="1381"/>
      <c r="G13" s="1382"/>
      <c r="H13" s="1382"/>
      <c r="I13" s="1382"/>
      <c r="J13" s="1382"/>
      <c r="K13" s="1342"/>
      <c r="L13" s="1342"/>
      <c r="M13" s="1342"/>
      <c r="N13" s="1342"/>
      <c r="O13" s="1342"/>
      <c r="P13" s="1342"/>
      <c r="Q13" s="1342"/>
      <c r="R13" s="1342"/>
    </row>
    <row r="14" spans="1:37" ht="14.25" customHeight="1" thickBot="1">
      <c r="A14" s="1342"/>
      <c r="B14" s="1342"/>
      <c r="C14" s="1342"/>
      <c r="D14" s="1342"/>
      <c r="E14" s="1342"/>
      <c r="F14" s="1342"/>
      <c r="G14" s="1342"/>
      <c r="H14" s="1342"/>
      <c r="I14" s="1342"/>
      <c r="J14" s="1342"/>
      <c r="K14" s="1342"/>
      <c r="L14" s="1342"/>
      <c r="M14" s="1342"/>
      <c r="N14" s="1342"/>
      <c r="O14" s="1342"/>
      <c r="P14" s="783"/>
      <c r="Q14" s="1798" t="s">
        <v>1676</v>
      </c>
      <c r="R14" s="1342"/>
    </row>
    <row r="15" spans="1:37" ht="24" customHeight="1">
      <c r="A15" s="1342"/>
      <c r="B15" s="2485"/>
      <c r="C15" s="2485"/>
      <c r="D15" s="2485"/>
      <c r="E15" s="2489" t="str">
        <f>V15</f>
        <v>2016.3</v>
      </c>
      <c r="F15" s="2487" t="str">
        <f t="shared" ref="F15:O15" si="3">W15</f>
        <v>2017.3</v>
      </c>
      <c r="G15" s="2487" t="str">
        <f t="shared" si="3"/>
        <v>2018.3</v>
      </c>
      <c r="H15" s="2487" t="str">
        <f t="shared" si="3"/>
        <v>2019.3</v>
      </c>
      <c r="I15" s="2487" t="str">
        <f t="shared" si="3"/>
        <v>2020.3</v>
      </c>
      <c r="J15" s="2487" t="str">
        <f t="shared" si="3"/>
        <v>2021.3</v>
      </c>
      <c r="K15" s="2487" t="str">
        <f t="shared" si="3"/>
        <v>2022.3</v>
      </c>
      <c r="L15" s="2487" t="str">
        <f t="shared" si="3"/>
        <v>2023.3</v>
      </c>
      <c r="M15" s="2487" t="str">
        <f t="shared" si="3"/>
        <v>2024.3</v>
      </c>
      <c r="N15" s="2487" t="str">
        <f t="shared" si="3"/>
        <v>2025.3</v>
      </c>
      <c r="O15" s="2490" t="str">
        <f t="shared" si="3"/>
        <v>2026.3</v>
      </c>
      <c r="P15" s="912" t="s">
        <v>638</v>
      </c>
      <c r="Q15" s="913" t="s">
        <v>558</v>
      </c>
      <c r="R15" s="1342"/>
      <c r="T15" s="1383"/>
      <c r="U15" s="2499"/>
      <c r="V15" s="2496" t="str">
        <f t="shared" ref="V15:AF15" si="4">V5</f>
        <v>2016.3</v>
      </c>
      <c r="W15" s="2496" t="str">
        <f t="shared" si="4"/>
        <v>2017.3</v>
      </c>
      <c r="X15" s="2496" t="str">
        <f t="shared" si="4"/>
        <v>2018.3</v>
      </c>
      <c r="Y15" s="2496" t="str">
        <f t="shared" si="4"/>
        <v>2019.3</v>
      </c>
      <c r="Z15" s="2496" t="str">
        <f t="shared" si="4"/>
        <v>2020.3</v>
      </c>
      <c r="AA15" s="2496" t="str">
        <f t="shared" si="4"/>
        <v>2021.3</v>
      </c>
      <c r="AB15" s="2496" t="str">
        <f t="shared" si="4"/>
        <v>2022.3</v>
      </c>
      <c r="AC15" s="2496" t="str">
        <f t="shared" si="4"/>
        <v>2023.3</v>
      </c>
      <c r="AD15" s="2496" t="str">
        <f t="shared" si="4"/>
        <v>2024.3</v>
      </c>
      <c r="AE15" s="2494" t="str">
        <f t="shared" si="4"/>
        <v>2025.3</v>
      </c>
      <c r="AF15" s="2492" t="str">
        <f t="shared" si="4"/>
        <v>2026.3</v>
      </c>
      <c r="AG15" s="1297" t="s">
        <v>536</v>
      </c>
      <c r="AH15" s="1298" t="s">
        <v>537</v>
      </c>
    </row>
    <row r="16" spans="1:37" ht="18.95" customHeight="1" thickBot="1">
      <c r="A16" s="1342"/>
      <c r="B16" s="2486"/>
      <c r="C16" s="2486"/>
      <c r="D16" s="2486"/>
      <c r="E16" s="2488"/>
      <c r="F16" s="2488"/>
      <c r="G16" s="2488"/>
      <c r="H16" s="2488"/>
      <c r="I16" s="2488"/>
      <c r="J16" s="2488"/>
      <c r="K16" s="2488"/>
      <c r="L16" s="2488"/>
      <c r="M16" s="2488"/>
      <c r="N16" s="2488"/>
      <c r="O16" s="2491"/>
      <c r="P16" s="646" t="s">
        <v>511</v>
      </c>
      <c r="Q16" s="647" t="s">
        <v>509</v>
      </c>
      <c r="R16" s="1342"/>
      <c r="T16" s="1384"/>
      <c r="U16" s="2501"/>
      <c r="V16" s="2497"/>
      <c r="W16" s="2497"/>
      <c r="X16" s="2497"/>
      <c r="Y16" s="2497"/>
      <c r="Z16" s="2497"/>
      <c r="AA16" s="2497"/>
      <c r="AB16" s="2497"/>
      <c r="AC16" s="2497"/>
      <c r="AD16" s="2497"/>
      <c r="AE16" s="2495"/>
      <c r="AF16" s="2493"/>
      <c r="AG16" s="1302" t="s">
        <v>373</v>
      </c>
      <c r="AH16" s="859" t="s">
        <v>14</v>
      </c>
    </row>
    <row r="17" spans="1:38" ht="20.100000000000001" customHeight="1" thickTop="1">
      <c r="A17" s="1342"/>
      <c r="B17" s="1385"/>
      <c r="C17" s="2502" t="s">
        <v>1441</v>
      </c>
      <c r="D17" s="2503"/>
      <c r="E17" s="1422">
        <f t="shared" ref="E17:F20" si="5">V17</f>
        <v>396216</v>
      </c>
      <c r="F17" s="1422">
        <f t="shared" si="5"/>
        <v>390202</v>
      </c>
      <c r="G17" s="1422">
        <f t="shared" ref="G17:M21" si="6">X17</f>
        <v>404131</v>
      </c>
      <c r="H17" s="1422">
        <f t="shared" si="6"/>
        <v>441813</v>
      </c>
      <c r="I17" s="1422">
        <f t="shared" si="6"/>
        <v>487052</v>
      </c>
      <c r="J17" s="1422">
        <f t="shared" si="6"/>
        <v>557126</v>
      </c>
      <c r="K17" s="1423">
        <f t="shared" si="6"/>
        <v>579983</v>
      </c>
      <c r="L17" s="1423">
        <f t="shared" si="6"/>
        <v>580673</v>
      </c>
      <c r="M17" s="1423">
        <f t="shared" si="6"/>
        <v>638708</v>
      </c>
      <c r="N17" s="1423">
        <f t="shared" ref="N17:Q20" si="7">AE17</f>
        <v>645379</v>
      </c>
      <c r="O17" s="1423">
        <f t="shared" si="7"/>
        <v>673134</v>
      </c>
      <c r="P17" s="1424">
        <f t="shared" si="7"/>
        <v>4.3005737713808445</v>
      </c>
      <c r="Q17" s="1425">
        <f t="shared" si="7"/>
        <v>5.4428053058444448</v>
      </c>
      <c r="R17" s="1342"/>
      <c r="T17" s="1386"/>
      <c r="U17" s="1352" t="s">
        <v>1445</v>
      </c>
      <c r="V17" s="1387">
        <v>396216</v>
      </c>
      <c r="W17" s="1387">
        <v>390202</v>
      </c>
      <c r="X17" s="1387">
        <v>404131</v>
      </c>
      <c r="Y17" s="1387">
        <v>441813</v>
      </c>
      <c r="Z17" s="1387">
        <v>487052</v>
      </c>
      <c r="AA17" s="878">
        <v>557126</v>
      </c>
      <c r="AB17" s="878">
        <v>579983</v>
      </c>
      <c r="AC17" s="878">
        <v>580673</v>
      </c>
      <c r="AD17" s="877">
        <v>638708</v>
      </c>
      <c r="AE17" s="1388">
        <v>645379</v>
      </c>
      <c r="AF17" s="1389">
        <v>673134</v>
      </c>
      <c r="AG17" s="1357">
        <f>IF(ISERROR((AF17/AE17-1)*100),"-",(AF17/AE17-1)*100)</f>
        <v>4.3005737713808445</v>
      </c>
      <c r="AH17" s="1358">
        <f>IF(ISERROR(((AF17/V17)^(1/10)-1)*100),"-",((AF17/V17)^(1/10)-1)*100)</f>
        <v>5.4428053058444448</v>
      </c>
    </row>
    <row r="18" spans="1:38" ht="20.100000000000001" customHeight="1">
      <c r="A18" s="1342"/>
      <c r="B18" s="1385"/>
      <c r="C18" s="2504" t="s">
        <v>1440</v>
      </c>
      <c r="D18" s="2505"/>
      <c r="E18" s="1426">
        <f t="shared" si="5"/>
        <v>366910</v>
      </c>
      <c r="F18" s="1426">
        <f t="shared" si="5"/>
        <v>352147</v>
      </c>
      <c r="G18" s="1426">
        <f t="shared" si="6"/>
        <v>350897</v>
      </c>
      <c r="H18" s="1426">
        <f t="shared" si="6"/>
        <v>371191</v>
      </c>
      <c r="I18" s="1426">
        <f t="shared" si="6"/>
        <v>364147</v>
      </c>
      <c r="J18" s="1426">
        <f t="shared" si="6"/>
        <v>343303</v>
      </c>
      <c r="K18" s="1426">
        <f>AB18</f>
        <v>363466</v>
      </c>
      <c r="L18" s="1426">
        <f t="shared" si="6"/>
        <v>377795</v>
      </c>
      <c r="M18" s="1426">
        <f t="shared" si="6"/>
        <v>403572</v>
      </c>
      <c r="N18" s="1426">
        <f t="shared" si="7"/>
        <v>494345</v>
      </c>
      <c r="O18" s="1426">
        <f t="shared" si="7"/>
        <v>538012</v>
      </c>
      <c r="P18" s="1427">
        <f t="shared" si="7"/>
        <v>8.8333046758842571</v>
      </c>
      <c r="Q18" s="1428">
        <f t="shared" si="7"/>
        <v>3.901840679634172</v>
      </c>
      <c r="R18" s="1342"/>
      <c r="T18" s="1390"/>
      <c r="U18" s="1436" t="s">
        <v>1444</v>
      </c>
      <c r="V18" s="878">
        <v>366910</v>
      </c>
      <c r="W18" s="878">
        <v>352147</v>
      </c>
      <c r="X18" s="878">
        <v>350897</v>
      </c>
      <c r="Y18" s="878">
        <v>371191</v>
      </c>
      <c r="Z18" s="878">
        <v>364147</v>
      </c>
      <c r="AA18" s="878">
        <v>343303</v>
      </c>
      <c r="AB18" s="878">
        <v>363466</v>
      </c>
      <c r="AC18" s="878">
        <v>377795</v>
      </c>
      <c r="AD18" s="877">
        <v>403572</v>
      </c>
      <c r="AE18" s="1213">
        <v>494345</v>
      </c>
      <c r="AF18" s="1389">
        <v>538012</v>
      </c>
      <c r="AG18" s="1357">
        <f>IF(ISERROR((AF18/AE18-1)*100),"-",(AF18/AE18-1)*100)</f>
        <v>8.8333046758842571</v>
      </c>
      <c r="AH18" s="1358">
        <f>IF(ISERROR(((AF18/V18)^(1/10)-1)*100),"-",((AF18/V18)^(1/10)-1)*100)</f>
        <v>3.901840679634172</v>
      </c>
    </row>
    <row r="19" spans="1:38" ht="20.100000000000001" customHeight="1">
      <c r="A19" s="1342"/>
      <c r="B19" s="1368" t="s">
        <v>884</v>
      </c>
      <c r="C19" s="1368"/>
      <c r="D19" s="1369"/>
      <c r="E19" s="1420">
        <f t="shared" si="5"/>
        <v>763126</v>
      </c>
      <c r="F19" s="1420">
        <f t="shared" si="5"/>
        <v>742349</v>
      </c>
      <c r="G19" s="1420">
        <f t="shared" si="6"/>
        <v>755028</v>
      </c>
      <c r="H19" s="1420">
        <f t="shared" si="6"/>
        <v>813004</v>
      </c>
      <c r="I19" s="1420">
        <f t="shared" si="6"/>
        <v>851199</v>
      </c>
      <c r="J19" s="1420">
        <f t="shared" si="6"/>
        <v>900429</v>
      </c>
      <c r="K19" s="1420">
        <f t="shared" si="6"/>
        <v>943449</v>
      </c>
      <c r="L19" s="1420">
        <f t="shared" si="6"/>
        <v>958468</v>
      </c>
      <c r="M19" s="1420">
        <f t="shared" si="6"/>
        <v>1042280</v>
      </c>
      <c r="N19" s="1420">
        <f t="shared" si="7"/>
        <v>1139724</v>
      </c>
      <c r="O19" s="1420">
        <f t="shared" si="7"/>
        <v>1211146</v>
      </c>
      <c r="P19" s="1429">
        <f t="shared" si="7"/>
        <v>6.2666048973260224</v>
      </c>
      <c r="Q19" s="1430">
        <f t="shared" si="7"/>
        <v>4.727328419642296</v>
      </c>
      <c r="R19" s="1342"/>
      <c r="T19" s="1436" t="s">
        <v>907</v>
      </c>
      <c r="U19" s="1352"/>
      <c r="V19" s="1391">
        <f>SUM(V17:V18)</f>
        <v>763126</v>
      </c>
      <c r="W19" s="1391">
        <f t="shared" ref="W19:AF19" si="8">SUM(W17:W18)</f>
        <v>742349</v>
      </c>
      <c r="X19" s="1391">
        <f t="shared" si="8"/>
        <v>755028</v>
      </c>
      <c r="Y19" s="1391">
        <f t="shared" si="8"/>
        <v>813004</v>
      </c>
      <c r="Z19" s="1391">
        <f t="shared" si="8"/>
        <v>851199</v>
      </c>
      <c r="AA19" s="1391">
        <f t="shared" si="8"/>
        <v>900429</v>
      </c>
      <c r="AB19" s="1391">
        <f t="shared" si="8"/>
        <v>943449</v>
      </c>
      <c r="AC19" s="1391">
        <f t="shared" si="8"/>
        <v>958468</v>
      </c>
      <c r="AD19" s="1391">
        <f t="shared" si="8"/>
        <v>1042280</v>
      </c>
      <c r="AE19" s="1391">
        <f t="shared" si="8"/>
        <v>1139724</v>
      </c>
      <c r="AF19" s="1391">
        <f t="shared" si="8"/>
        <v>1211146</v>
      </c>
      <c r="AG19" s="1357">
        <f>IF(ISERROR((AF19/AE19-1)*100),"-",(AF19/AE19-1)*100)</f>
        <v>6.2666048973260224</v>
      </c>
      <c r="AH19" s="1358">
        <f>IF(ISERROR(((AF19/V19)^(1/10)-1)*100),"-",((AF19/V19)^(1/10)-1)*100)</f>
        <v>4.727328419642296</v>
      </c>
      <c r="AJ19" s="1343" t="s">
        <v>885</v>
      </c>
      <c r="AK19" s="1343" t="s">
        <v>886</v>
      </c>
      <c r="AL19" s="182" t="s">
        <v>1136</v>
      </c>
    </row>
    <row r="20" spans="1:38" ht="20.100000000000001" customHeight="1">
      <c r="A20" s="1342"/>
      <c r="B20" s="1392" t="s">
        <v>887</v>
      </c>
      <c r="C20" s="1393"/>
      <c r="D20" s="1394"/>
      <c r="E20" s="1431">
        <f t="shared" si="5"/>
        <v>1562399</v>
      </c>
      <c r="F20" s="1431">
        <f t="shared" si="5"/>
        <v>1508843</v>
      </c>
      <c r="G20" s="1431">
        <f t="shared" si="6"/>
        <v>1556026</v>
      </c>
      <c r="H20" s="1431">
        <f t="shared" si="6"/>
        <v>1712024</v>
      </c>
      <c r="I20" s="1431">
        <f t="shared" si="6"/>
        <v>1772443</v>
      </c>
      <c r="J20" s="1431">
        <f t="shared" si="6"/>
        <v>1680810</v>
      </c>
      <c r="K20" s="1431">
        <f t="shared" si="6"/>
        <v>1787302</v>
      </c>
      <c r="L20" s="1431">
        <f t="shared" si="6"/>
        <v>1863988</v>
      </c>
      <c r="M20" s="1431">
        <f t="shared" si="6"/>
        <v>1986643</v>
      </c>
      <c r="N20" s="1431">
        <f t="shared" si="7"/>
        <v>2145158</v>
      </c>
      <c r="O20" s="1431">
        <f t="shared" si="7"/>
        <v>2347566</v>
      </c>
      <c r="P20" s="1432">
        <f>AG20</f>
        <v>9.4355753748675006</v>
      </c>
      <c r="Q20" s="1433">
        <f t="shared" si="7"/>
        <v>4.1555905991035091</v>
      </c>
      <c r="R20" s="1342"/>
      <c r="T20" s="1360" t="s">
        <v>888</v>
      </c>
      <c r="U20" s="1395"/>
      <c r="V20" s="838">
        <v>1562399</v>
      </c>
      <c r="W20" s="838">
        <v>1508843</v>
      </c>
      <c r="X20" s="838">
        <v>1556026</v>
      </c>
      <c r="Y20" s="838">
        <v>1712024</v>
      </c>
      <c r="Z20" s="838">
        <v>1772443</v>
      </c>
      <c r="AA20" s="838">
        <v>1680810</v>
      </c>
      <c r="AB20" s="838">
        <v>1787302</v>
      </c>
      <c r="AC20" s="838">
        <v>1863988</v>
      </c>
      <c r="AD20" s="1216">
        <v>1986643</v>
      </c>
      <c r="AE20" s="1217">
        <v>2145158</v>
      </c>
      <c r="AF20" s="1396">
        <v>2347566</v>
      </c>
      <c r="AG20" s="1397">
        <f>IF(ISERROR((AF20/AE20-1)*100),"-",(AF20/AE20-1)*100)</f>
        <v>9.4355753748675006</v>
      </c>
      <c r="AH20" s="1398">
        <f>IF(ISERROR(((AF20/V20)^(1/10)-1)*100),"-",((AF20/V20)^(1/10)-1)*100)</f>
        <v>4.1555905991035091</v>
      </c>
      <c r="AJ20" s="1380">
        <f>'Ⅱ-2-(2)_AA実績月次推移'!R18</f>
        <v>2347566</v>
      </c>
      <c r="AK20" s="1380">
        <f>'Ⅱ-2-(1)_会場別AA実績'!I25</f>
        <v>2347566</v>
      </c>
      <c r="AL20" s="1714" t="str">
        <f>IF(AND(AF20=AJ20,AJ20=AK20)=TRUE,"OK","NG")</f>
        <v>OK</v>
      </c>
    </row>
    <row r="21" spans="1:38" ht="20.100000000000001" customHeight="1" thickBot="1">
      <c r="A21" s="1342"/>
      <c r="B21" s="1368" t="s">
        <v>889</v>
      </c>
      <c r="C21" s="1399"/>
      <c r="D21" s="1400"/>
      <c r="E21" s="1434">
        <f>V21</f>
        <v>48.8</v>
      </c>
      <c r="F21" s="1434">
        <f>W21</f>
        <v>49.2</v>
      </c>
      <c r="G21" s="1434">
        <f t="shared" si="6"/>
        <v>48.5</v>
      </c>
      <c r="H21" s="1434">
        <f t="shared" si="6"/>
        <v>47.5</v>
      </c>
      <c r="I21" s="1434">
        <f t="shared" si="6"/>
        <v>48</v>
      </c>
      <c r="J21" s="1434">
        <f t="shared" si="6"/>
        <v>53.6</v>
      </c>
      <c r="K21" s="1434">
        <f t="shared" si="6"/>
        <v>52.800000000000004</v>
      </c>
      <c r="L21" s="1434">
        <f t="shared" si="6"/>
        <v>51.4</v>
      </c>
      <c r="M21" s="1434">
        <f t="shared" si="6"/>
        <v>52.5</v>
      </c>
      <c r="N21" s="1434">
        <f>AE21</f>
        <v>53.1</v>
      </c>
      <c r="O21" s="1434">
        <f>AF21</f>
        <v>51.6</v>
      </c>
      <c r="P21" s="1430" t="s">
        <v>3</v>
      </c>
      <c r="Q21" s="1430" t="s">
        <v>3</v>
      </c>
      <c r="R21" s="1342"/>
      <c r="T21" s="1360"/>
      <c r="U21" s="1437" t="s">
        <v>908</v>
      </c>
      <c r="V21" s="1401">
        <f t="shared" ref="V21:AE21" si="9">ROUND(V19/V20,3)*100</f>
        <v>48.8</v>
      </c>
      <c r="W21" s="1401">
        <f t="shared" si="9"/>
        <v>49.2</v>
      </c>
      <c r="X21" s="1401">
        <f t="shared" si="9"/>
        <v>48.5</v>
      </c>
      <c r="Y21" s="1401">
        <f t="shared" si="9"/>
        <v>47.5</v>
      </c>
      <c r="Z21" s="1401">
        <f t="shared" si="9"/>
        <v>48</v>
      </c>
      <c r="AA21" s="1401">
        <f t="shared" si="9"/>
        <v>53.6</v>
      </c>
      <c r="AB21" s="1401">
        <f t="shared" si="9"/>
        <v>52.800000000000004</v>
      </c>
      <c r="AC21" s="1401">
        <f t="shared" si="9"/>
        <v>51.4</v>
      </c>
      <c r="AD21" s="1401">
        <f t="shared" si="9"/>
        <v>52.5</v>
      </c>
      <c r="AE21" s="1402">
        <f t="shared" si="9"/>
        <v>53.1</v>
      </c>
      <c r="AF21" s="1403">
        <f>ROUND(AF19/AF20,3)*100</f>
        <v>51.6</v>
      </c>
      <c r="AG21" s="1404" t="s">
        <v>215</v>
      </c>
      <c r="AH21" s="1405" t="s">
        <v>216</v>
      </c>
    </row>
    <row r="22" spans="1:38" ht="12" hidden="1" customHeight="1" outlineLevel="1">
      <c r="A22" s="1342"/>
      <c r="B22" s="1435" t="s">
        <v>1241</v>
      </c>
      <c r="C22" s="1406"/>
      <c r="D22" s="1342"/>
      <c r="E22" s="1407"/>
      <c r="F22" s="1407"/>
      <c r="G22" s="1407"/>
      <c r="H22" s="1779" t="s">
        <v>902</v>
      </c>
      <c r="I22" s="667"/>
      <c r="J22" s="1406"/>
      <c r="K22" s="1342"/>
      <c r="L22" s="1407"/>
      <c r="M22" s="1407"/>
      <c r="N22" s="1407"/>
      <c r="O22" s="1407"/>
      <c r="P22" s="1407"/>
      <c r="Q22" s="1407"/>
      <c r="R22" s="1342"/>
      <c r="T22" s="1379"/>
      <c r="U22" s="1379"/>
      <c r="V22" s="1379"/>
      <c r="W22" s="1408"/>
      <c r="X22" s="1408"/>
      <c r="Y22" s="1408"/>
      <c r="Z22" s="1408"/>
      <c r="AA22" s="1408"/>
      <c r="AB22" s="1408"/>
      <c r="AC22" s="1408"/>
      <c r="AD22" s="1408"/>
      <c r="AE22" s="1408"/>
      <c r="AF22" s="1408"/>
      <c r="AG22" s="1408"/>
      <c r="AH22" s="1408"/>
    </row>
    <row r="23" spans="1:38" ht="12" hidden="1" customHeight="1" outlineLevel="1">
      <c r="A23" s="1342"/>
      <c r="B23" s="1435" t="s">
        <v>904</v>
      </c>
      <c r="C23" s="1406"/>
      <c r="D23" s="1342"/>
      <c r="E23" s="1407"/>
      <c r="F23" s="1407"/>
      <c r="G23" s="1407"/>
      <c r="H23" s="1779" t="s">
        <v>903</v>
      </c>
      <c r="I23" s="667"/>
      <c r="J23" s="1406"/>
      <c r="K23" s="1342"/>
      <c r="L23" s="1407"/>
      <c r="M23" s="1407"/>
      <c r="N23" s="1407"/>
      <c r="O23" s="1407"/>
      <c r="P23" s="1407"/>
      <c r="Q23" s="1407"/>
      <c r="R23" s="1342"/>
      <c r="T23" s="1379"/>
      <c r="U23" s="1379"/>
      <c r="V23" s="1379"/>
      <c r="W23" s="1408"/>
      <c r="X23" s="1408"/>
      <c r="Y23" s="1408"/>
      <c r="Z23" s="1408"/>
      <c r="AA23" s="1408"/>
      <c r="AB23" s="1408"/>
      <c r="AC23" s="1408"/>
      <c r="AD23" s="1408"/>
      <c r="AE23" s="1408"/>
      <c r="AF23" s="1408"/>
      <c r="AG23" s="1408"/>
      <c r="AH23" s="1408"/>
    </row>
    <row r="24" spans="1:38" ht="12" hidden="1" customHeight="1" outlineLevel="1">
      <c r="A24" s="1342"/>
      <c r="B24" s="1435" t="s">
        <v>905</v>
      </c>
      <c r="C24" s="1406"/>
      <c r="D24" s="1342"/>
      <c r="E24" s="1407"/>
      <c r="F24" s="1407"/>
      <c r="G24" s="1407"/>
      <c r="H24" s="1779" t="s">
        <v>517</v>
      </c>
      <c r="I24" s="667"/>
      <c r="J24" s="1406"/>
      <c r="K24" s="1342"/>
      <c r="L24" s="1407"/>
      <c r="M24" s="1407"/>
      <c r="N24" s="1407"/>
      <c r="O24" s="1407"/>
      <c r="P24" s="1407"/>
      <c r="Q24" s="1407"/>
      <c r="R24" s="1342"/>
      <c r="T24" s="1379"/>
      <c r="U24" s="1379"/>
      <c r="V24" s="1379"/>
      <c r="W24" s="1408"/>
      <c r="X24" s="1408"/>
      <c r="Y24" s="1408"/>
      <c r="Z24" s="1408"/>
      <c r="AA24" s="1408"/>
      <c r="AB24" s="1408"/>
      <c r="AC24" s="1408"/>
      <c r="AD24" s="1408"/>
      <c r="AE24" s="1408"/>
      <c r="AF24" s="1408"/>
      <c r="AG24" s="1408"/>
      <c r="AH24" s="1408"/>
    </row>
    <row r="25" spans="1:38" ht="9.9499999999999993" customHeight="1" collapsed="1">
      <c r="A25" s="1342"/>
      <c r="I25" s="1407"/>
      <c r="J25" s="1407"/>
      <c r="K25" s="1407"/>
      <c r="L25" s="1407"/>
      <c r="M25" s="1407"/>
      <c r="N25" s="1407"/>
      <c r="O25" s="1407"/>
      <c r="P25" s="1407"/>
      <c r="Q25" s="1407"/>
      <c r="R25" s="1342"/>
      <c r="T25" s="1379"/>
      <c r="U25" s="1379"/>
      <c r="V25" s="1408"/>
      <c r="W25" s="1408"/>
      <c r="X25" s="1408"/>
      <c r="Y25" s="1408"/>
      <c r="Z25" s="1408"/>
      <c r="AA25" s="1408"/>
      <c r="AB25" s="1408"/>
      <c r="AC25" s="1408"/>
      <c r="AD25" s="1408"/>
      <c r="AE25" s="1408"/>
      <c r="AF25" s="1408"/>
      <c r="AG25" s="1408"/>
      <c r="AH25" s="1408"/>
    </row>
    <row r="26" spans="1:38" ht="9.75" customHeight="1">
      <c r="A26" s="1342"/>
      <c r="I26" s="1407"/>
      <c r="J26" s="1407"/>
      <c r="K26" s="1407"/>
      <c r="L26" s="1407"/>
      <c r="M26" s="1407"/>
      <c r="N26" s="1407"/>
      <c r="O26" s="1407"/>
      <c r="P26" s="1407"/>
      <c r="Q26" s="1407"/>
      <c r="R26" s="1342"/>
      <c r="T26" s="1379"/>
      <c r="U26" s="1379"/>
      <c r="V26" s="1408"/>
      <c r="W26" s="1408"/>
      <c r="X26" s="1408"/>
      <c r="Y26" s="1408"/>
      <c r="Z26" s="1408"/>
      <c r="AA26" s="1408"/>
      <c r="AB26" s="1408"/>
      <c r="AC26" s="1408"/>
      <c r="AD26" s="1408"/>
      <c r="AE26" s="1408"/>
      <c r="AF26" s="1408"/>
      <c r="AG26" s="1408"/>
      <c r="AH26" s="1408"/>
    </row>
    <row r="27" spans="1:38" ht="6" customHeight="1">
      <c r="A27" s="1342"/>
      <c r="I27" s="1407"/>
      <c r="J27" s="1407"/>
      <c r="K27" s="1409"/>
      <c r="L27" s="1407"/>
      <c r="M27" s="1407"/>
      <c r="N27" s="1407"/>
      <c r="O27" s="1407"/>
      <c r="P27" s="1407"/>
      <c r="Q27" s="1407"/>
      <c r="R27" s="1342"/>
      <c r="T27" s="1379"/>
      <c r="U27" s="1379"/>
      <c r="V27" s="1408"/>
      <c r="W27" s="1408"/>
      <c r="X27" s="1408"/>
      <c r="Y27" s="1408"/>
      <c r="Z27" s="1408"/>
      <c r="AA27" s="1408"/>
      <c r="AB27" s="1408"/>
      <c r="AC27" s="1408"/>
      <c r="AD27" s="1408"/>
      <c r="AE27" s="1408"/>
      <c r="AF27" s="1408"/>
      <c r="AG27" s="1408"/>
      <c r="AH27" s="1408"/>
    </row>
    <row r="28" spans="1:38" ht="6" hidden="1" customHeight="1">
      <c r="A28" s="1342"/>
      <c r="B28" s="1342"/>
      <c r="C28" s="1342"/>
      <c r="D28" s="1342"/>
      <c r="E28" s="1342"/>
      <c r="F28" s="1342"/>
      <c r="G28" s="1342"/>
      <c r="H28" s="1342"/>
      <c r="I28" s="1342"/>
      <c r="J28" s="1342"/>
      <c r="K28" s="1342"/>
      <c r="L28" s="1342"/>
      <c r="M28" s="1342"/>
      <c r="N28" s="1342"/>
      <c r="O28" s="1342"/>
      <c r="P28" s="1342"/>
      <c r="Q28" s="1342"/>
      <c r="R28" s="1342"/>
      <c r="T28" s="1133" t="s">
        <v>579</v>
      </c>
    </row>
    <row r="29" spans="1:38">
      <c r="A29" s="1342"/>
      <c r="B29" s="1342"/>
      <c r="C29" s="1342"/>
      <c r="D29" s="1342"/>
      <c r="E29" s="1342"/>
      <c r="F29" s="1342"/>
      <c r="G29" s="1342"/>
      <c r="H29" s="1342"/>
      <c r="I29" s="1342"/>
      <c r="J29" s="1342"/>
      <c r="K29" s="1342"/>
      <c r="L29" s="1342"/>
      <c r="M29" s="1342"/>
      <c r="N29" s="1342"/>
      <c r="O29" s="1342"/>
      <c r="P29" s="1342"/>
      <c r="Q29" s="1342"/>
      <c r="R29" s="1342"/>
      <c r="T29" s="1410"/>
      <c r="U29" s="1343" t="s">
        <v>890</v>
      </c>
    </row>
    <row r="30" spans="1:38">
      <c r="A30" s="1342"/>
      <c r="B30" s="1342"/>
      <c r="C30" s="1342"/>
      <c r="D30" s="1342"/>
      <c r="E30" s="1342"/>
      <c r="F30" s="1342"/>
      <c r="G30" s="1342"/>
      <c r="H30" s="1342"/>
      <c r="I30" s="1342"/>
      <c r="J30" s="1342"/>
      <c r="K30" s="1342"/>
      <c r="L30" s="1342"/>
      <c r="M30" s="1342"/>
      <c r="N30" s="1342"/>
      <c r="O30" s="1342"/>
      <c r="P30" s="1342"/>
      <c r="Q30" s="1342"/>
      <c r="R30" s="1342"/>
      <c r="U30" s="1343" t="s">
        <v>891</v>
      </c>
    </row>
    <row r="31" spans="1:38">
      <c r="A31" s="1342"/>
      <c r="B31" s="1342"/>
      <c r="C31" s="1342"/>
      <c r="D31" s="1342"/>
      <c r="E31" s="1342"/>
      <c r="F31" s="1342"/>
      <c r="G31" s="1342"/>
      <c r="H31" s="1342"/>
      <c r="I31" s="1342"/>
      <c r="J31" s="1342"/>
      <c r="K31" s="1342"/>
      <c r="L31" s="1342"/>
      <c r="M31" s="1342"/>
      <c r="N31" s="1342"/>
      <c r="O31" s="1342"/>
      <c r="P31" s="1342"/>
      <c r="Q31" s="1342"/>
      <c r="R31" s="1342"/>
      <c r="U31" s="1343" t="s">
        <v>892</v>
      </c>
    </row>
    <row r="32" spans="1:38">
      <c r="A32" s="1342"/>
      <c r="B32" s="1342"/>
      <c r="C32" s="1342"/>
      <c r="D32" s="1342"/>
      <c r="E32" s="1342"/>
      <c r="F32" s="1342"/>
      <c r="G32" s="1342"/>
      <c r="H32" s="1342"/>
      <c r="I32" s="1342"/>
      <c r="J32" s="1342"/>
      <c r="K32" s="1342"/>
      <c r="L32" s="1342"/>
      <c r="M32" s="1342"/>
      <c r="N32" s="1342"/>
      <c r="O32" s="1342"/>
      <c r="P32" s="1342"/>
      <c r="Q32" s="1342"/>
      <c r="R32" s="1342"/>
      <c r="U32" s="1343" t="s">
        <v>893</v>
      </c>
    </row>
    <row r="33" spans="1:27">
      <c r="A33" s="1342"/>
      <c r="B33" s="1342"/>
      <c r="C33" s="1342"/>
      <c r="D33" s="1342"/>
      <c r="E33" s="1342"/>
      <c r="F33" s="1342"/>
      <c r="G33" s="1342"/>
      <c r="H33" s="1342"/>
      <c r="I33" s="1342"/>
      <c r="J33" s="1342"/>
      <c r="K33" s="1342"/>
      <c r="L33" s="1342"/>
      <c r="M33" s="1342"/>
      <c r="N33" s="1342"/>
      <c r="O33" s="1342"/>
      <c r="P33" s="1342"/>
      <c r="Q33" s="1342"/>
      <c r="R33" s="1342"/>
    </row>
    <row r="34" spans="1:27">
      <c r="A34" s="1342"/>
      <c r="B34" s="1342"/>
      <c r="C34" s="1342"/>
      <c r="D34" s="1342"/>
      <c r="E34" s="1342"/>
      <c r="F34" s="1342"/>
      <c r="G34" s="1342"/>
      <c r="H34" s="1342"/>
      <c r="I34" s="1342"/>
      <c r="J34" s="1342"/>
      <c r="K34" s="1342"/>
      <c r="L34" s="1342"/>
      <c r="M34" s="1342"/>
      <c r="N34" s="1342"/>
      <c r="O34" s="1342"/>
      <c r="P34" s="1342"/>
      <c r="Q34" s="1342"/>
      <c r="R34" s="1342"/>
      <c r="U34" s="1343" t="s">
        <v>894</v>
      </c>
    </row>
    <row r="35" spans="1:27">
      <c r="A35" s="1342"/>
      <c r="B35" s="1342"/>
      <c r="C35" s="1342"/>
      <c r="D35" s="1342"/>
      <c r="E35" s="1342"/>
      <c r="F35" s="1342"/>
      <c r="G35" s="1342"/>
      <c r="H35" s="1342"/>
      <c r="I35" s="1342"/>
      <c r="J35" s="1342"/>
      <c r="K35" s="1342"/>
      <c r="L35" s="1342"/>
      <c r="M35" s="1342"/>
      <c r="N35" s="1342"/>
      <c r="O35" s="1342"/>
      <c r="P35" s="1342"/>
      <c r="Q35" s="1342"/>
      <c r="R35" s="1342"/>
      <c r="U35" s="1343" t="s">
        <v>895</v>
      </c>
    </row>
    <row r="36" spans="1:27">
      <c r="A36" s="1342"/>
      <c r="B36" s="1342"/>
      <c r="C36" s="1342"/>
      <c r="D36" s="1342"/>
      <c r="E36" s="1342"/>
      <c r="F36" s="1342"/>
      <c r="G36" s="1342"/>
      <c r="H36" s="1342"/>
      <c r="I36" s="1342"/>
      <c r="J36" s="1342"/>
      <c r="K36" s="1342"/>
      <c r="L36" s="1342"/>
      <c r="M36" s="1342"/>
      <c r="N36" s="1342"/>
      <c r="O36" s="1342"/>
      <c r="P36" s="1342"/>
      <c r="Q36" s="1342"/>
      <c r="R36" s="1342"/>
      <c r="U36" s="1343" t="s">
        <v>896</v>
      </c>
    </row>
    <row r="37" spans="1:27">
      <c r="A37" s="1342"/>
      <c r="B37" s="1342"/>
      <c r="C37" s="1342"/>
      <c r="D37" s="1342"/>
      <c r="E37" s="1342"/>
      <c r="F37" s="1342"/>
      <c r="G37" s="1342"/>
      <c r="H37" s="1342"/>
      <c r="I37" s="1342"/>
      <c r="J37" s="1342"/>
      <c r="K37" s="1342"/>
      <c r="L37" s="1342"/>
      <c r="M37" s="1342"/>
      <c r="N37" s="1342"/>
      <c r="O37" s="1342"/>
      <c r="P37" s="1342"/>
      <c r="Q37" s="1342"/>
      <c r="R37" s="1342"/>
      <c r="U37" s="1343" t="s">
        <v>897</v>
      </c>
    </row>
    <row r="38" spans="1:27">
      <c r="A38" s="1342"/>
      <c r="B38" s="1342"/>
      <c r="C38" s="1342"/>
      <c r="D38" s="1342"/>
      <c r="E38" s="1342"/>
      <c r="F38" s="1342"/>
      <c r="G38" s="1342"/>
      <c r="H38" s="1342"/>
      <c r="I38" s="1342"/>
      <c r="J38" s="1342"/>
      <c r="K38" s="1342"/>
      <c r="L38" s="1342"/>
      <c r="M38" s="1342"/>
      <c r="N38" s="1342"/>
      <c r="O38" s="1342"/>
      <c r="P38" s="1342"/>
      <c r="Q38" s="1342"/>
      <c r="R38" s="1342"/>
    </row>
    <row r="39" spans="1:27">
      <c r="A39" s="1342"/>
      <c r="B39" s="1342"/>
      <c r="C39" s="1342"/>
      <c r="D39" s="1342"/>
      <c r="E39" s="1342"/>
      <c r="F39" s="1342"/>
      <c r="G39" s="1342"/>
      <c r="H39" s="1342"/>
      <c r="I39" s="1342"/>
      <c r="J39" s="1342"/>
      <c r="K39" s="1342"/>
      <c r="L39" s="1342"/>
      <c r="M39" s="1342"/>
      <c r="N39" s="1342"/>
      <c r="O39" s="1342"/>
      <c r="P39" s="1342"/>
      <c r="Q39" s="1342"/>
      <c r="R39" s="1342"/>
      <c r="U39" s="1343" t="s">
        <v>898</v>
      </c>
    </row>
    <row r="40" spans="1:27" ht="39.75" customHeight="1">
      <c r="A40" s="1342"/>
      <c r="B40" s="1342"/>
      <c r="C40" s="1342"/>
      <c r="D40" s="1342"/>
      <c r="E40" s="1342"/>
      <c r="F40" s="1342"/>
      <c r="G40" s="1342"/>
      <c r="H40" s="1342"/>
      <c r="I40" s="1342"/>
      <c r="J40" s="1342"/>
      <c r="K40" s="1342"/>
      <c r="L40" s="1342"/>
      <c r="M40" s="1342"/>
      <c r="N40" s="1342"/>
      <c r="O40" s="1342"/>
      <c r="P40" s="1342"/>
      <c r="Q40" s="1342"/>
      <c r="R40" s="1342"/>
    </row>
    <row r="41" spans="1:27" ht="31.5" customHeight="1">
      <c r="A41" s="1342"/>
      <c r="B41" s="1342"/>
      <c r="C41" s="1342"/>
      <c r="D41" s="1342"/>
      <c r="E41" s="1342"/>
      <c r="F41" s="1342"/>
      <c r="G41" s="1342"/>
      <c r="H41" s="1342"/>
      <c r="I41" s="1342"/>
      <c r="J41" s="1342"/>
      <c r="K41" s="1342"/>
      <c r="L41" s="1342"/>
      <c r="M41" s="1342"/>
      <c r="N41" s="1342"/>
      <c r="O41" s="1342"/>
      <c r="P41" s="1342"/>
      <c r="Q41" s="1342"/>
      <c r="R41" s="1342"/>
      <c r="U41" s="1383" t="s">
        <v>899</v>
      </c>
      <c r="V41" s="1986" t="s">
        <v>1632</v>
      </c>
      <c r="W41" s="1411"/>
      <c r="X41" s="1411"/>
      <c r="Y41" s="1411"/>
      <c r="Z41" s="1411"/>
      <c r="AA41" s="1412"/>
    </row>
    <row r="42" spans="1:27">
      <c r="A42" s="1342"/>
      <c r="B42" s="1342"/>
      <c r="C42" s="1342"/>
      <c r="D42" s="1342"/>
      <c r="E42" s="1342"/>
      <c r="F42" s="1342"/>
      <c r="G42" s="1342"/>
      <c r="H42" s="1342"/>
      <c r="I42" s="1342"/>
      <c r="J42" s="1342"/>
      <c r="K42" s="1342"/>
      <c r="L42" s="1342"/>
      <c r="M42" s="1342"/>
      <c r="N42" s="1342"/>
      <c r="O42" s="1342"/>
      <c r="P42" s="1342"/>
      <c r="Q42" s="1342"/>
      <c r="R42" s="1342"/>
      <c r="U42" s="1390"/>
      <c r="V42" s="1343" t="s">
        <v>900</v>
      </c>
      <c r="AA42" s="1370"/>
    </row>
    <row r="43" spans="1:27">
      <c r="A43" s="1342"/>
      <c r="B43" s="1342"/>
      <c r="C43" s="1342"/>
      <c r="D43" s="1342"/>
      <c r="E43" s="1342"/>
      <c r="F43" s="1342"/>
      <c r="G43" s="1342"/>
      <c r="H43" s="1342"/>
      <c r="I43" s="1342"/>
      <c r="J43" s="1342"/>
      <c r="K43" s="1342"/>
      <c r="L43" s="1342"/>
      <c r="M43" s="1342"/>
      <c r="N43" s="1342"/>
      <c r="O43" s="1342"/>
      <c r="P43" s="1342"/>
      <c r="Q43" s="1342"/>
      <c r="R43" s="1342"/>
      <c r="U43" s="1390"/>
      <c r="V43" s="1713" t="s">
        <v>1633</v>
      </c>
      <c r="AA43" s="1370"/>
    </row>
    <row r="44" spans="1:27" ht="12.75" customHeight="1">
      <c r="A44" s="1342"/>
      <c r="B44" s="1342"/>
      <c r="C44" s="1342"/>
      <c r="D44" s="1342"/>
      <c r="E44" s="1342"/>
      <c r="F44" s="1342"/>
      <c r="G44" s="1342"/>
      <c r="H44" s="1342"/>
      <c r="I44" s="1342"/>
      <c r="J44" s="1342"/>
      <c r="K44" s="1342"/>
      <c r="L44" s="1342"/>
      <c r="M44" s="1342"/>
      <c r="N44" s="1342"/>
      <c r="O44" s="1342"/>
      <c r="P44" s="1342"/>
      <c r="Q44" s="1342"/>
      <c r="R44" s="1342"/>
      <c r="U44" s="1413"/>
      <c r="V44" s="1414" t="s">
        <v>901</v>
      </c>
      <c r="W44" s="1414"/>
      <c r="X44" s="1414"/>
      <c r="Y44" s="1414"/>
      <c r="Z44" s="1414"/>
      <c r="AA44" s="1415"/>
    </row>
    <row r="45" spans="1:27" ht="15.75" customHeight="1">
      <c r="A45" s="1342"/>
      <c r="B45" s="1342"/>
      <c r="C45" s="1342"/>
      <c r="D45" s="1342"/>
      <c r="E45" s="1342"/>
      <c r="F45" s="1342"/>
      <c r="G45" s="1342"/>
      <c r="H45" s="1342"/>
      <c r="I45" s="1342"/>
      <c r="J45" s="1342"/>
      <c r="K45" s="1342"/>
      <c r="L45" s="1342"/>
      <c r="M45" s="1342"/>
      <c r="N45" s="1342"/>
      <c r="O45" s="1342"/>
      <c r="P45" s="1342"/>
      <c r="Q45" s="1342"/>
      <c r="R45" s="1342"/>
    </row>
    <row r="46" spans="1:27" ht="22.5" customHeight="1"/>
  </sheetData>
  <sheetProtection algorithmName="SHA-512" hashValue="9pIgm0D4B4U7xaTwb6d2LXWxrqDEKkazcYE+c+u+FqpjeMJuNsP1TSAqXAyLil4WG3eCkbpFRLs4okhEMjwCxA==" saltValue="A7Ja4mddhOoC6XzffT5spg==" spinCount="100000" sheet="1" objects="1" scenarios="1"/>
  <customSheetViews>
    <customSheetView guid="{06451E13-97D0-44F4-875B-E8D80B2F1CF1}" scale="130" showPageBreaks="1" fitToPage="1" printArea="1" hiddenRows="1" view="pageBreakPreview">
      <selection activeCell="AA7" sqref="AA7:AB7"/>
      <pageMargins left="0" right="0" top="0" bottom="0" header="0" footer="0"/>
      <printOptions horizontalCentered="1" verticalCentered="1"/>
      <pageSetup paperSize="9" scale="91" orientation="landscape" r:id="rId1"/>
      <headerFooter scaleWithDoc="0" alignWithMargins="0">
        <oddFooter>&amp;C&amp;"Arial,標準"&amp;12 15</oddFooter>
      </headerFooter>
    </customSheetView>
  </customSheetViews>
  <mergeCells count="39">
    <mergeCell ref="C17:D17"/>
    <mergeCell ref="C18:D18"/>
    <mergeCell ref="N5:N6"/>
    <mergeCell ref="G15:G16"/>
    <mergeCell ref="M5:M6"/>
    <mergeCell ref="L5:L6"/>
    <mergeCell ref="K5:K6"/>
    <mergeCell ref="J5:J6"/>
    <mergeCell ref="M15:M16"/>
    <mergeCell ref="N15:N16"/>
    <mergeCell ref="E15:E16"/>
    <mergeCell ref="F15:F16"/>
    <mergeCell ref="H15:H16"/>
    <mergeCell ref="L15:L16"/>
    <mergeCell ref="B5:D6"/>
    <mergeCell ref="K15:K16"/>
    <mergeCell ref="O5:O6"/>
    <mergeCell ref="AF15:AF16"/>
    <mergeCell ref="AE15:AE16"/>
    <mergeCell ref="AD15:AD16"/>
    <mergeCell ref="AC15:AC16"/>
    <mergeCell ref="AB15:AB16"/>
    <mergeCell ref="AA15:AA16"/>
    <mergeCell ref="Z15:Z16"/>
    <mergeCell ref="T5:U6"/>
    <mergeCell ref="V15:V16"/>
    <mergeCell ref="O15:O16"/>
    <mergeCell ref="Y15:Y16"/>
    <mergeCell ref="W15:W16"/>
    <mergeCell ref="X15:X16"/>
    <mergeCell ref="U15:U16"/>
    <mergeCell ref="B15:D16"/>
    <mergeCell ref="G5:G6"/>
    <mergeCell ref="J15:J16"/>
    <mergeCell ref="I15:I16"/>
    <mergeCell ref="F5:F6"/>
    <mergeCell ref="E5:E6"/>
    <mergeCell ref="H5:H6"/>
    <mergeCell ref="I5:I6"/>
  </mergeCells>
  <phoneticPr fontId="14"/>
  <hyperlinks>
    <hyperlink ref="V41" r:id="rId2"/>
    <hyperlink ref="V43" r:id="rId3"/>
  </hyperlinks>
  <printOptions horizontalCentered="1" verticalCentered="1"/>
  <pageMargins left="0" right="0" top="0" bottom="0" header="0" footer="0"/>
  <pageSetup paperSize="9" scale="94" orientation="landscape" r:id="rId4"/>
  <headerFooter scaleWithDoc="0" alignWithMargins="0">
    <oddFooter>&amp;C&amp;"Arial,標準"&amp;12 15</oddFooter>
  </headerFooter>
  <drawing r:id="rId5"/>
  <legacyDrawing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AM44"/>
  <sheetViews>
    <sheetView view="pageBreakPreview" zoomScale="70" zoomScaleNormal="70" zoomScaleSheetLayoutView="70" workbookViewId="0">
      <selection activeCell="AO26" sqref="AO26"/>
    </sheetView>
  </sheetViews>
  <sheetFormatPr defaultColWidth="9.140625" defaultRowHeight="12.75"/>
  <cols>
    <col min="1" max="1" width="10.85546875" style="769" customWidth="1"/>
    <col min="2" max="2" width="18.140625" style="769" customWidth="1"/>
    <col min="3" max="3" width="8.85546875" style="769" customWidth="1"/>
    <col min="4" max="4" width="12.85546875" style="769" customWidth="1"/>
    <col min="5" max="16" width="9.140625" style="769" customWidth="1"/>
    <col min="17" max="18" width="5" style="769" customWidth="1"/>
    <col min="19" max="19" width="9.85546875" style="769" customWidth="1"/>
    <col min="20" max="20" width="4.85546875" style="769" hidden="1" customWidth="1"/>
    <col min="21" max="21" width="0" style="769" hidden="1" customWidth="1"/>
    <col min="22" max="33" width="10.85546875" style="769" hidden="1" customWidth="1"/>
    <col min="34" max="35" width="14.85546875" style="769" hidden="1" customWidth="1"/>
    <col min="36" max="39" width="10.85546875" style="769" hidden="1" customWidth="1"/>
    <col min="40" max="42" width="10.85546875" style="769" customWidth="1"/>
    <col min="43" max="46" width="11" style="769" customWidth="1"/>
    <col min="47" max="16384" width="9.140625" style="769"/>
  </cols>
  <sheetData>
    <row r="1" spans="1:39" ht="54.75" customHeight="1">
      <c r="A1" s="779"/>
      <c r="B1" s="779"/>
      <c r="C1" s="779"/>
      <c r="D1" s="779"/>
      <c r="E1" s="779"/>
      <c r="F1" s="779"/>
      <c r="G1" s="779"/>
      <c r="H1" s="779"/>
      <c r="I1" s="779"/>
      <c r="J1" s="779"/>
      <c r="K1" s="779"/>
      <c r="L1" s="779"/>
      <c r="M1" s="779"/>
      <c r="N1" s="779"/>
      <c r="O1" s="779"/>
      <c r="P1" s="779"/>
      <c r="Q1" s="779"/>
      <c r="R1" s="779"/>
      <c r="S1" s="779"/>
    </row>
    <row r="2" spans="1:39" ht="19.5" customHeight="1">
      <c r="A2" s="670"/>
      <c r="B2" s="781"/>
      <c r="C2" s="781"/>
      <c r="D2" s="781"/>
      <c r="E2" s="779"/>
      <c r="F2" s="779"/>
      <c r="G2" s="779"/>
      <c r="H2" s="779"/>
      <c r="I2" s="779"/>
      <c r="J2" s="779"/>
      <c r="K2" s="779"/>
      <c r="L2" s="779"/>
      <c r="M2" s="779"/>
      <c r="N2" s="779"/>
      <c r="O2" s="779"/>
      <c r="P2" s="779"/>
      <c r="Q2" s="779"/>
      <c r="R2" s="779"/>
      <c r="S2" s="779"/>
    </row>
    <row r="3" spans="1:39" ht="4.5" customHeight="1">
      <c r="A3" s="779"/>
      <c r="B3" s="779"/>
      <c r="C3" s="779"/>
      <c r="D3" s="779"/>
      <c r="E3" s="779"/>
      <c r="F3" s="779"/>
      <c r="G3" s="779"/>
      <c r="H3" s="779"/>
      <c r="I3" s="779"/>
      <c r="J3" s="779"/>
      <c r="K3" s="779"/>
      <c r="L3" s="779"/>
      <c r="M3" s="779"/>
      <c r="N3" s="779"/>
      <c r="O3" s="779"/>
      <c r="P3" s="779"/>
      <c r="Q3" s="779"/>
      <c r="R3" s="1043"/>
      <c r="S3" s="779"/>
    </row>
    <row r="4" spans="1:39" ht="20.25" customHeight="1" thickBot="1">
      <c r="A4" s="779"/>
      <c r="B4" s="779"/>
      <c r="C4" s="779"/>
      <c r="D4" s="779"/>
      <c r="E4" s="779"/>
      <c r="F4" s="779"/>
      <c r="G4" s="779"/>
      <c r="H4" s="779"/>
      <c r="I4" s="779"/>
      <c r="J4" s="779"/>
      <c r="K4" s="779"/>
      <c r="L4" s="779"/>
      <c r="M4" s="779"/>
      <c r="N4" s="779"/>
      <c r="O4" s="779"/>
      <c r="P4" s="779"/>
      <c r="Q4" s="779"/>
      <c r="R4" s="1438" t="s">
        <v>1380</v>
      </c>
      <c r="S4" s="779"/>
      <c r="U4" s="769" t="s">
        <v>909</v>
      </c>
    </row>
    <row r="5" spans="1:39" ht="24" customHeight="1">
      <c r="A5" s="779"/>
      <c r="B5" s="2510"/>
      <c r="C5" s="2510"/>
      <c r="D5" s="2510"/>
      <c r="E5" s="2453" t="str">
        <f>W5</f>
        <v>2016.3</v>
      </c>
      <c r="F5" s="2206" t="str">
        <f t="shared" ref="F5:O5" si="0">X5</f>
        <v>2017.3</v>
      </c>
      <c r="G5" s="2206" t="str">
        <f t="shared" si="0"/>
        <v>2018.3</v>
      </c>
      <c r="H5" s="2206" t="str">
        <f t="shared" si="0"/>
        <v>2019.3</v>
      </c>
      <c r="I5" s="2206" t="str">
        <f t="shared" si="0"/>
        <v>2020.3</v>
      </c>
      <c r="J5" s="2206" t="str">
        <f t="shared" si="0"/>
        <v>2021.3</v>
      </c>
      <c r="K5" s="2206" t="str">
        <f t="shared" si="0"/>
        <v>2022.3</v>
      </c>
      <c r="L5" s="2206" t="str">
        <f t="shared" si="0"/>
        <v>2023.3</v>
      </c>
      <c r="M5" s="2206" t="str">
        <f t="shared" si="0"/>
        <v>2024.3</v>
      </c>
      <c r="N5" s="2206" t="str">
        <f t="shared" si="0"/>
        <v>2025.3</v>
      </c>
      <c r="O5" s="2306" t="str">
        <f t="shared" si="0"/>
        <v>2026.3</v>
      </c>
      <c r="P5" s="593" t="s">
        <v>155</v>
      </c>
      <c r="Q5" s="2514" t="str">
        <f>AI5</f>
        <v>過去10年
平均増減率</v>
      </c>
      <c r="R5" s="2515"/>
      <c r="S5" s="779"/>
      <c r="U5" s="2518"/>
      <c r="V5" s="2518"/>
      <c r="W5" s="1439" t="s">
        <v>1612</v>
      </c>
      <c r="X5" s="1439" t="s">
        <v>1613</v>
      </c>
      <c r="Y5" s="1439" t="s">
        <v>1614</v>
      </c>
      <c r="Z5" s="1439" t="s">
        <v>1616</v>
      </c>
      <c r="AA5" s="1439" t="s">
        <v>1615</v>
      </c>
      <c r="AB5" s="1439" t="s">
        <v>1617</v>
      </c>
      <c r="AC5" s="1439" t="s">
        <v>1618</v>
      </c>
      <c r="AD5" s="1439" t="s">
        <v>1619</v>
      </c>
      <c r="AE5" s="1440" t="s">
        <v>1620</v>
      </c>
      <c r="AF5" s="1441" t="s">
        <v>1621</v>
      </c>
      <c r="AG5" s="1442" t="s">
        <v>1611</v>
      </c>
      <c r="AH5" s="1443" t="s">
        <v>910</v>
      </c>
      <c r="AI5" s="1443" t="s">
        <v>911</v>
      </c>
    </row>
    <row r="6" spans="1:39" ht="18.95" customHeight="1">
      <c r="A6" s="779"/>
      <c r="B6" s="2511"/>
      <c r="C6" s="2511"/>
      <c r="D6" s="2511"/>
      <c r="E6" s="2207"/>
      <c r="F6" s="2207"/>
      <c r="G6" s="2207"/>
      <c r="H6" s="2207"/>
      <c r="I6" s="2207"/>
      <c r="J6" s="2207"/>
      <c r="K6" s="2207"/>
      <c r="L6" s="2207"/>
      <c r="M6" s="2207"/>
      <c r="N6" s="2207"/>
      <c r="O6" s="2450"/>
      <c r="P6" s="646" t="s">
        <v>511</v>
      </c>
      <c r="Q6" s="2516" t="str">
        <f t="shared" ref="Q6:Q14" si="1">AI6</f>
        <v>Avg YoY Change 
(10 year period)</v>
      </c>
      <c r="R6" s="2517"/>
      <c r="S6" s="779"/>
      <c r="U6" s="2518"/>
      <c r="V6" s="2518"/>
      <c r="W6" s="1444"/>
      <c r="X6" s="1444"/>
      <c r="Y6" s="1444"/>
      <c r="Z6" s="1444"/>
      <c r="AA6" s="1444"/>
      <c r="AB6" s="1444"/>
      <c r="AC6" s="1444"/>
      <c r="AD6" s="1444"/>
      <c r="AE6" s="1445"/>
      <c r="AF6" s="1446"/>
      <c r="AG6" s="1447"/>
      <c r="AH6" s="1448" t="s">
        <v>326</v>
      </c>
      <c r="AI6" s="1449" t="s">
        <v>6</v>
      </c>
    </row>
    <row r="7" spans="1:39" ht="24.95" customHeight="1">
      <c r="A7" s="779"/>
      <c r="B7" s="2531" t="s">
        <v>1378</v>
      </c>
      <c r="C7" s="2507" t="s">
        <v>929</v>
      </c>
      <c r="D7" s="2507"/>
      <c r="E7" s="936">
        <f t="shared" ref="E7:E15" si="2">IF(W7=0,"-",W7)</f>
        <v>63109</v>
      </c>
      <c r="F7" s="936">
        <f t="shared" ref="F7:F15" si="3">IF(X7=0,"-",X7)</f>
        <v>58351</v>
      </c>
      <c r="G7" s="936">
        <f t="shared" ref="G7:G15" si="4">IF(Y7=0,"-",Y7)</f>
        <v>58369</v>
      </c>
      <c r="H7" s="936">
        <f t="shared" ref="H7:H15" si="5">IF(Z7=0,"-",Z7)</f>
        <v>62905</v>
      </c>
      <c r="I7" s="936">
        <f t="shared" ref="I7:I15" si="6">IF(AA7=0,"-",AA7)</f>
        <v>61841</v>
      </c>
      <c r="J7" s="936">
        <f t="shared" ref="J7:J15" si="7">IF(AB7=0,"-",AB7)</f>
        <v>65995</v>
      </c>
      <c r="K7" s="936">
        <f t="shared" ref="K7:K15" si="8">IF(AC7=0,"-",AC7)</f>
        <v>69258</v>
      </c>
      <c r="L7" s="936">
        <f t="shared" ref="L7:L15" si="9">IF(AD7=0,"-",AD7)</f>
        <v>78875</v>
      </c>
      <c r="M7" s="936">
        <f t="shared" ref="M7:M15" si="10">IF(AE7=0,"-",AE7)</f>
        <v>77969</v>
      </c>
      <c r="N7" s="936">
        <f t="shared" ref="N7:N12" si="11">IF(AF7=0,"-",AF7)</f>
        <v>85236</v>
      </c>
      <c r="O7" s="936">
        <f t="shared" ref="O7:O12" si="12">IF(AG7=0,"-",AG7)</f>
        <v>90594</v>
      </c>
      <c r="P7" s="1464">
        <f>AH7</f>
        <v>6.2860763057862812</v>
      </c>
      <c r="Q7" s="2532">
        <f t="shared" si="1"/>
        <v>3.6813906630538185</v>
      </c>
      <c r="R7" s="2532"/>
      <c r="S7" s="779"/>
      <c r="U7" s="2528" t="s">
        <v>912</v>
      </c>
      <c r="V7" s="1450" t="s">
        <v>914</v>
      </c>
      <c r="W7" s="1451">
        <v>63109</v>
      </c>
      <c r="X7" s="1451">
        <v>58351</v>
      </c>
      <c r="Y7" s="1451">
        <v>58369</v>
      </c>
      <c r="Z7" s="1451">
        <v>62905</v>
      </c>
      <c r="AA7" s="1451">
        <v>61841</v>
      </c>
      <c r="AB7" s="1451">
        <v>65995</v>
      </c>
      <c r="AC7" s="1451">
        <v>69258</v>
      </c>
      <c r="AD7" s="1451">
        <v>78875</v>
      </c>
      <c r="AE7" s="1452">
        <v>77969</v>
      </c>
      <c r="AF7" s="1453">
        <v>85236</v>
      </c>
      <c r="AG7" s="1454">
        <v>90594</v>
      </c>
      <c r="AH7" s="1455">
        <f t="shared" ref="AH7:AH12" si="13">IF(ISERROR((AG7/AF7-1)*100),"-",(AG7/AF7-1)*100)</f>
        <v>6.2860763057862812</v>
      </c>
      <c r="AI7" s="1456">
        <f t="shared" ref="AI7:AI12" si="14">((AG7/W7)^(1/10)-1)*100</f>
        <v>3.6813906630538185</v>
      </c>
    </row>
    <row r="8" spans="1:39" ht="24.95" customHeight="1">
      <c r="A8" s="779"/>
      <c r="B8" s="2512"/>
      <c r="C8" s="2508" t="s">
        <v>928</v>
      </c>
      <c r="D8" s="2508"/>
      <c r="E8" s="953">
        <f t="shared" si="2"/>
        <v>49933</v>
      </c>
      <c r="F8" s="953">
        <f t="shared" si="3"/>
        <v>48719</v>
      </c>
      <c r="G8" s="953">
        <f t="shared" si="4"/>
        <v>51049</v>
      </c>
      <c r="H8" s="953">
        <f t="shared" si="5"/>
        <v>53403</v>
      </c>
      <c r="I8" s="953">
        <f t="shared" si="6"/>
        <v>54009</v>
      </c>
      <c r="J8" s="953">
        <f t="shared" si="7"/>
        <v>53801</v>
      </c>
      <c r="K8" s="953">
        <f t="shared" si="8"/>
        <v>55742</v>
      </c>
      <c r="L8" s="953">
        <f t="shared" si="9"/>
        <v>58164</v>
      </c>
      <c r="M8" s="953">
        <f t="shared" si="10"/>
        <v>58988</v>
      </c>
      <c r="N8" s="953">
        <f t="shared" si="11"/>
        <v>57973</v>
      </c>
      <c r="O8" s="953">
        <f t="shared" si="12"/>
        <v>68308</v>
      </c>
      <c r="P8" s="1465">
        <f t="shared" ref="P8:P15" si="15">AH8</f>
        <v>17.827264416193756</v>
      </c>
      <c r="Q8" s="2526">
        <f t="shared" si="1"/>
        <v>3.1830571130473828</v>
      </c>
      <c r="R8" s="2526" t="str">
        <f t="shared" ref="R8:R14" si="16">IF(AT8=0,"-",INT(AT8/1000))</f>
        <v>-</v>
      </c>
      <c r="S8" s="779"/>
      <c r="U8" s="2529"/>
      <c r="V8" s="1450" t="s">
        <v>913</v>
      </c>
      <c r="W8" s="1451">
        <v>49933</v>
      </c>
      <c r="X8" s="1451">
        <v>48719</v>
      </c>
      <c r="Y8" s="1451">
        <v>51049</v>
      </c>
      <c r="Z8" s="1451">
        <v>53403</v>
      </c>
      <c r="AA8" s="1451">
        <v>54009</v>
      </c>
      <c r="AB8" s="1451">
        <v>53801</v>
      </c>
      <c r="AC8" s="1451">
        <v>55742</v>
      </c>
      <c r="AD8" s="1451">
        <v>58164</v>
      </c>
      <c r="AE8" s="1452">
        <v>58988</v>
      </c>
      <c r="AF8" s="1453">
        <v>57973</v>
      </c>
      <c r="AG8" s="1454">
        <v>68308</v>
      </c>
      <c r="AH8" s="1455">
        <f t="shared" si="13"/>
        <v>17.827264416193756</v>
      </c>
      <c r="AI8" s="1456">
        <f>((AG8/W8)^(1/10)-1)*100</f>
        <v>3.1830571130473828</v>
      </c>
      <c r="AM8" s="1457"/>
    </row>
    <row r="9" spans="1:39" ht="24.95" customHeight="1">
      <c r="A9" s="779"/>
      <c r="B9" s="2513"/>
      <c r="C9" s="2509" t="s">
        <v>930</v>
      </c>
      <c r="D9" s="2509"/>
      <c r="E9" s="1467">
        <f t="shared" si="2"/>
        <v>113042</v>
      </c>
      <c r="F9" s="1467">
        <f t="shared" si="3"/>
        <v>107070</v>
      </c>
      <c r="G9" s="1467">
        <f t="shared" si="4"/>
        <v>109418</v>
      </c>
      <c r="H9" s="1467">
        <f t="shared" si="5"/>
        <v>116308</v>
      </c>
      <c r="I9" s="1467">
        <f t="shared" si="6"/>
        <v>115850</v>
      </c>
      <c r="J9" s="1467">
        <f t="shared" si="7"/>
        <v>119796</v>
      </c>
      <c r="K9" s="1467">
        <f t="shared" si="8"/>
        <v>125000</v>
      </c>
      <c r="L9" s="1467">
        <f t="shared" si="9"/>
        <v>137039</v>
      </c>
      <c r="M9" s="1467">
        <f t="shared" si="10"/>
        <v>136957</v>
      </c>
      <c r="N9" s="1467">
        <f t="shared" si="11"/>
        <v>143209</v>
      </c>
      <c r="O9" s="1467">
        <f t="shared" si="12"/>
        <v>158902</v>
      </c>
      <c r="P9" s="1468">
        <f t="shared" si="15"/>
        <v>10.958110174639856</v>
      </c>
      <c r="Q9" s="2527">
        <f>AI9</f>
        <v>3.4639257922885136</v>
      </c>
      <c r="R9" s="2527" t="str">
        <f>IF(AT9=0,"-",INT(AT9/1000))</f>
        <v>-</v>
      </c>
      <c r="S9" s="779"/>
      <c r="U9" s="2530"/>
      <c r="V9" s="1450" t="s">
        <v>915</v>
      </c>
      <c r="W9" s="1451">
        <f>IF(SUM(W7:W8)=0,"-",SUM(W7:W8))</f>
        <v>113042</v>
      </c>
      <c r="X9" s="1451">
        <f>IF(SUM(X7:X8)=0,"-",SUM(X7:X8))</f>
        <v>107070</v>
      </c>
      <c r="Y9" s="1451">
        <f t="shared" ref="Y9:AG9" si="17">IF(SUM(Y7:Y8)=0,"-",SUM(Y7:Y8))</f>
        <v>109418</v>
      </c>
      <c r="Z9" s="1451">
        <f t="shared" si="17"/>
        <v>116308</v>
      </c>
      <c r="AA9" s="1451">
        <f t="shared" si="17"/>
        <v>115850</v>
      </c>
      <c r="AB9" s="1451">
        <f t="shared" si="17"/>
        <v>119796</v>
      </c>
      <c r="AC9" s="1451">
        <f t="shared" si="17"/>
        <v>125000</v>
      </c>
      <c r="AD9" s="1451">
        <f t="shared" si="17"/>
        <v>137039</v>
      </c>
      <c r="AE9" s="1451">
        <f t="shared" si="17"/>
        <v>136957</v>
      </c>
      <c r="AF9" s="1452">
        <f t="shared" si="17"/>
        <v>143209</v>
      </c>
      <c r="AG9" s="1454">
        <f t="shared" si="17"/>
        <v>158902</v>
      </c>
      <c r="AH9" s="1455">
        <f t="shared" si="13"/>
        <v>10.958110174639856</v>
      </c>
      <c r="AI9" s="1456">
        <f t="shared" si="14"/>
        <v>3.4639257922885136</v>
      </c>
      <c r="AJ9" s="1457"/>
    </row>
    <row r="10" spans="1:39" ht="24.95" customHeight="1">
      <c r="A10" s="779"/>
      <c r="B10" s="2531" t="s">
        <v>1379</v>
      </c>
      <c r="C10" s="2507" t="s">
        <v>929</v>
      </c>
      <c r="D10" s="2507"/>
      <c r="E10" s="936">
        <f t="shared" si="2"/>
        <v>59726</v>
      </c>
      <c r="F10" s="936">
        <f t="shared" si="3"/>
        <v>53715</v>
      </c>
      <c r="G10" s="936">
        <f t="shared" si="4"/>
        <v>53412</v>
      </c>
      <c r="H10" s="936">
        <f t="shared" si="5"/>
        <v>56692</v>
      </c>
      <c r="I10" s="936">
        <f t="shared" si="6"/>
        <v>56127</v>
      </c>
      <c r="J10" s="936">
        <f t="shared" si="7"/>
        <v>59062</v>
      </c>
      <c r="K10" s="936">
        <f t="shared" si="8"/>
        <v>59967</v>
      </c>
      <c r="L10" s="936">
        <f t="shared" si="9"/>
        <v>69089</v>
      </c>
      <c r="M10" s="936">
        <f t="shared" si="10"/>
        <v>66333</v>
      </c>
      <c r="N10" s="936">
        <f t="shared" si="11"/>
        <v>72370</v>
      </c>
      <c r="O10" s="936">
        <f t="shared" si="12"/>
        <v>73589</v>
      </c>
      <c r="P10" s="1464">
        <f t="shared" si="15"/>
        <v>1.6843996130993411</v>
      </c>
      <c r="Q10" s="2533">
        <f t="shared" si="1"/>
        <v>2.1092172866656878</v>
      </c>
      <c r="R10" s="2533" t="str">
        <f t="shared" si="16"/>
        <v>-</v>
      </c>
      <c r="S10" s="779"/>
      <c r="U10" s="2528" t="s">
        <v>916</v>
      </c>
      <c r="V10" s="1450" t="s">
        <v>914</v>
      </c>
      <c r="W10" s="1451">
        <v>59726</v>
      </c>
      <c r="X10" s="1451">
        <v>53715</v>
      </c>
      <c r="Y10" s="1451">
        <v>53412</v>
      </c>
      <c r="Z10" s="1451">
        <v>56692</v>
      </c>
      <c r="AA10" s="1451">
        <v>56127</v>
      </c>
      <c r="AB10" s="1451">
        <v>59062</v>
      </c>
      <c r="AC10" s="1451">
        <v>59967</v>
      </c>
      <c r="AD10" s="1451">
        <v>69089</v>
      </c>
      <c r="AE10" s="1452">
        <v>66333</v>
      </c>
      <c r="AF10" s="1453">
        <v>72370</v>
      </c>
      <c r="AG10" s="1454">
        <v>73589</v>
      </c>
      <c r="AH10" s="1455">
        <f t="shared" si="13"/>
        <v>1.6843996130993411</v>
      </c>
      <c r="AI10" s="1456">
        <f t="shared" si="14"/>
        <v>2.1092172866656878</v>
      </c>
    </row>
    <row r="11" spans="1:39" ht="24.95" customHeight="1">
      <c r="A11" s="779"/>
      <c r="B11" s="2512"/>
      <c r="C11" s="2508" t="s">
        <v>928</v>
      </c>
      <c r="D11" s="2508"/>
      <c r="E11" s="953">
        <f t="shared" si="2"/>
        <v>48024</v>
      </c>
      <c r="F11" s="953">
        <f t="shared" si="3"/>
        <v>45457</v>
      </c>
      <c r="G11" s="953">
        <f t="shared" si="4"/>
        <v>46376</v>
      </c>
      <c r="H11" s="953">
        <f t="shared" si="5"/>
        <v>47681</v>
      </c>
      <c r="I11" s="953">
        <f t="shared" si="6"/>
        <v>49110</v>
      </c>
      <c r="J11" s="953">
        <f t="shared" si="7"/>
        <v>49039</v>
      </c>
      <c r="K11" s="953">
        <f t="shared" si="8"/>
        <v>49063</v>
      </c>
      <c r="L11" s="953">
        <f t="shared" si="9"/>
        <v>52736</v>
      </c>
      <c r="M11" s="953">
        <f t="shared" si="10"/>
        <v>51044</v>
      </c>
      <c r="N11" s="953">
        <f t="shared" si="11"/>
        <v>50160</v>
      </c>
      <c r="O11" s="953">
        <f t="shared" si="12"/>
        <v>57691</v>
      </c>
      <c r="P11" s="1465">
        <f t="shared" si="15"/>
        <v>15.013955342902708</v>
      </c>
      <c r="Q11" s="2526">
        <f t="shared" si="1"/>
        <v>1.8509240826063644</v>
      </c>
      <c r="R11" s="2526" t="str">
        <f t="shared" si="16"/>
        <v>-</v>
      </c>
      <c r="S11" s="779"/>
      <c r="U11" s="2529"/>
      <c r="V11" s="1450" t="s">
        <v>913</v>
      </c>
      <c r="W11" s="1451">
        <v>48024</v>
      </c>
      <c r="X11" s="1451">
        <v>45457</v>
      </c>
      <c r="Y11" s="1451">
        <v>46376</v>
      </c>
      <c r="Z11" s="1451">
        <v>47681</v>
      </c>
      <c r="AA11" s="1451">
        <v>49110</v>
      </c>
      <c r="AB11" s="1451">
        <v>49039</v>
      </c>
      <c r="AC11" s="1451">
        <v>49063</v>
      </c>
      <c r="AD11" s="1451">
        <v>52736</v>
      </c>
      <c r="AE11" s="1452">
        <v>51044</v>
      </c>
      <c r="AF11" s="1453">
        <v>50160</v>
      </c>
      <c r="AG11" s="1454">
        <v>57691</v>
      </c>
      <c r="AH11" s="1455">
        <f t="shared" si="13"/>
        <v>15.013955342902708</v>
      </c>
      <c r="AI11" s="1456">
        <f t="shared" si="14"/>
        <v>1.8509240826063644</v>
      </c>
    </row>
    <row r="12" spans="1:39" ht="24.95" customHeight="1">
      <c r="A12" s="779"/>
      <c r="B12" s="2513"/>
      <c r="C12" s="2509" t="s">
        <v>930</v>
      </c>
      <c r="D12" s="2509"/>
      <c r="E12" s="1467">
        <f t="shared" si="2"/>
        <v>107750</v>
      </c>
      <c r="F12" s="1467">
        <f t="shared" si="3"/>
        <v>99172</v>
      </c>
      <c r="G12" s="1467">
        <f t="shared" si="4"/>
        <v>99788</v>
      </c>
      <c r="H12" s="1467">
        <f t="shared" si="5"/>
        <v>104373</v>
      </c>
      <c r="I12" s="1467">
        <f t="shared" si="6"/>
        <v>105237</v>
      </c>
      <c r="J12" s="1467">
        <f t="shared" si="7"/>
        <v>108101</v>
      </c>
      <c r="K12" s="1467">
        <f t="shared" si="8"/>
        <v>109030</v>
      </c>
      <c r="L12" s="1467">
        <f t="shared" si="9"/>
        <v>121825</v>
      </c>
      <c r="M12" s="1467">
        <f t="shared" si="10"/>
        <v>117377</v>
      </c>
      <c r="N12" s="1467">
        <f t="shared" si="11"/>
        <v>122530</v>
      </c>
      <c r="O12" s="1467">
        <f t="shared" si="12"/>
        <v>131280</v>
      </c>
      <c r="P12" s="1468">
        <f t="shared" si="15"/>
        <v>7.1411083000081588</v>
      </c>
      <c r="Q12" s="2527">
        <f>AI12</f>
        <v>1.9948230687090618</v>
      </c>
      <c r="R12" s="2527" t="str">
        <f>IF(AT12=0,"-",INT(AT12/1000))</f>
        <v>-</v>
      </c>
      <c r="S12" s="779"/>
      <c r="U12" s="2530"/>
      <c r="V12" s="1450" t="s">
        <v>915</v>
      </c>
      <c r="W12" s="1451">
        <f t="shared" ref="W12:AG12" si="18">IF(SUM(W10:W11)=0,"-",SUM(W10:W11))</f>
        <v>107750</v>
      </c>
      <c r="X12" s="1451">
        <f t="shared" si="18"/>
        <v>99172</v>
      </c>
      <c r="Y12" s="1451">
        <f t="shared" si="18"/>
        <v>99788</v>
      </c>
      <c r="Z12" s="1451">
        <f t="shared" si="18"/>
        <v>104373</v>
      </c>
      <c r="AA12" s="1451">
        <f t="shared" si="18"/>
        <v>105237</v>
      </c>
      <c r="AB12" s="1451">
        <f t="shared" si="18"/>
        <v>108101</v>
      </c>
      <c r="AC12" s="1451">
        <f t="shared" si="18"/>
        <v>109030</v>
      </c>
      <c r="AD12" s="1451">
        <f t="shared" si="18"/>
        <v>121825</v>
      </c>
      <c r="AE12" s="1451">
        <f t="shared" si="18"/>
        <v>117377</v>
      </c>
      <c r="AF12" s="1452">
        <f t="shared" si="18"/>
        <v>122530</v>
      </c>
      <c r="AG12" s="1454">
        <f t="shared" si="18"/>
        <v>131280</v>
      </c>
      <c r="AH12" s="1455">
        <f t="shared" si="13"/>
        <v>7.1411083000081588</v>
      </c>
      <c r="AI12" s="1456">
        <f t="shared" si="14"/>
        <v>1.9948230687090618</v>
      </c>
    </row>
    <row r="13" spans="1:39" ht="24.95" customHeight="1">
      <c r="A13" s="779"/>
      <c r="B13" s="2512" t="s">
        <v>931</v>
      </c>
      <c r="C13" s="2507" t="s">
        <v>929</v>
      </c>
      <c r="D13" s="2507"/>
      <c r="E13" s="1466">
        <f t="shared" si="2"/>
        <v>94.6</v>
      </c>
      <c r="F13" s="1466">
        <f t="shared" si="3"/>
        <v>92.1</v>
      </c>
      <c r="G13" s="1466">
        <f t="shared" si="4"/>
        <v>91.5</v>
      </c>
      <c r="H13" s="1466">
        <f t="shared" si="5"/>
        <v>90.1</v>
      </c>
      <c r="I13" s="1466">
        <f t="shared" si="6"/>
        <v>90.8</v>
      </c>
      <c r="J13" s="1466">
        <f t="shared" si="7"/>
        <v>89.5</v>
      </c>
      <c r="K13" s="1466">
        <f t="shared" si="8"/>
        <v>86.6</v>
      </c>
      <c r="L13" s="1466">
        <f t="shared" si="9"/>
        <v>87.6</v>
      </c>
      <c r="M13" s="1466">
        <f t="shared" si="10"/>
        <v>85.1</v>
      </c>
      <c r="N13" s="1466">
        <f t="shared" ref="N13:O15" si="19">IF(AF13=0,"-",AF13)</f>
        <v>84.9</v>
      </c>
      <c r="O13" s="1466">
        <f>IF(AG13=0,"-",AG13)</f>
        <v>81.2</v>
      </c>
      <c r="P13" s="1465" t="str">
        <f t="shared" si="15"/>
        <v>-</v>
      </c>
      <c r="Q13" s="2525" t="str">
        <f t="shared" si="1"/>
        <v>-</v>
      </c>
      <c r="R13" s="2525" t="str">
        <f t="shared" si="16"/>
        <v>-</v>
      </c>
      <c r="S13" s="779"/>
      <c r="U13" s="2524" t="s">
        <v>917</v>
      </c>
      <c r="V13" s="1450" t="s">
        <v>913</v>
      </c>
      <c r="W13" s="1458">
        <f>IF(W7=0,0,ROUND(W10/W7*100,1))</f>
        <v>94.6</v>
      </c>
      <c r="X13" s="1458">
        <f t="shared" ref="X13:AF13" si="20">IF(X7=0,0,ROUND(X10/X7*100,1))</f>
        <v>92.1</v>
      </c>
      <c r="Y13" s="1458">
        <f t="shared" si="20"/>
        <v>91.5</v>
      </c>
      <c r="Z13" s="1458">
        <f t="shared" si="20"/>
        <v>90.1</v>
      </c>
      <c r="AA13" s="1458">
        <f t="shared" si="20"/>
        <v>90.8</v>
      </c>
      <c r="AB13" s="1458">
        <f>IF(AB7=0,0,ROUND(AB10/AB7*100,1))</f>
        <v>89.5</v>
      </c>
      <c r="AC13" s="1458">
        <f t="shared" si="20"/>
        <v>86.6</v>
      </c>
      <c r="AD13" s="1458">
        <f t="shared" si="20"/>
        <v>87.6</v>
      </c>
      <c r="AE13" s="1458">
        <f t="shared" si="20"/>
        <v>85.1</v>
      </c>
      <c r="AF13" s="1459">
        <f t="shared" si="20"/>
        <v>84.9</v>
      </c>
      <c r="AG13" s="1455">
        <f>IF(AG7=0,0,ROUND(AG10/AG7*100,1))</f>
        <v>81.2</v>
      </c>
      <c r="AH13" s="1460" t="s">
        <v>10</v>
      </c>
      <c r="AI13" s="1460" t="s">
        <v>10</v>
      </c>
    </row>
    <row r="14" spans="1:39" ht="24.95" customHeight="1">
      <c r="A14" s="779"/>
      <c r="B14" s="2512"/>
      <c r="C14" s="2508" t="s">
        <v>928</v>
      </c>
      <c r="D14" s="2508"/>
      <c r="E14" s="1466">
        <f t="shared" si="2"/>
        <v>96.2</v>
      </c>
      <c r="F14" s="1466">
        <f t="shared" si="3"/>
        <v>93.3</v>
      </c>
      <c r="G14" s="1466">
        <f t="shared" si="4"/>
        <v>90.8</v>
      </c>
      <c r="H14" s="1466">
        <f t="shared" si="5"/>
        <v>89.3</v>
      </c>
      <c r="I14" s="1466">
        <f t="shared" si="6"/>
        <v>90.9</v>
      </c>
      <c r="J14" s="1466">
        <f t="shared" si="7"/>
        <v>91.1</v>
      </c>
      <c r="K14" s="1466">
        <f t="shared" si="8"/>
        <v>88</v>
      </c>
      <c r="L14" s="1466">
        <f t="shared" si="9"/>
        <v>90.7</v>
      </c>
      <c r="M14" s="1466">
        <f t="shared" si="10"/>
        <v>86.5</v>
      </c>
      <c r="N14" s="1466">
        <f t="shared" si="19"/>
        <v>86.5</v>
      </c>
      <c r="O14" s="1466">
        <f>IF(AG14=0,"-",AG14)</f>
        <v>84.5</v>
      </c>
      <c r="P14" s="1465" t="str">
        <f t="shared" si="15"/>
        <v>-</v>
      </c>
      <c r="Q14" s="2525" t="str">
        <f t="shared" si="1"/>
        <v>-</v>
      </c>
      <c r="R14" s="2525" t="str">
        <f t="shared" si="16"/>
        <v>-</v>
      </c>
      <c r="S14" s="779"/>
      <c r="U14" s="2524"/>
      <c r="V14" s="1450" t="s">
        <v>914</v>
      </c>
      <c r="W14" s="1458">
        <f t="shared" ref="W14:AF14" si="21">IF(W8=0,0,ROUND(W11/W8*100,1))</f>
        <v>96.2</v>
      </c>
      <c r="X14" s="1458">
        <f t="shared" si="21"/>
        <v>93.3</v>
      </c>
      <c r="Y14" s="1458">
        <f t="shared" si="21"/>
        <v>90.8</v>
      </c>
      <c r="Z14" s="1458">
        <f t="shared" si="21"/>
        <v>89.3</v>
      </c>
      <c r="AA14" s="1458">
        <f t="shared" si="21"/>
        <v>90.9</v>
      </c>
      <c r="AB14" s="1458">
        <f t="shared" si="21"/>
        <v>91.1</v>
      </c>
      <c r="AC14" s="1458">
        <f t="shared" si="21"/>
        <v>88</v>
      </c>
      <c r="AD14" s="1458">
        <f t="shared" si="21"/>
        <v>90.7</v>
      </c>
      <c r="AE14" s="1458">
        <f t="shared" si="21"/>
        <v>86.5</v>
      </c>
      <c r="AF14" s="1459">
        <f t="shared" si="21"/>
        <v>86.5</v>
      </c>
      <c r="AG14" s="1455">
        <f>IF(AG8=0,0,ROUND(AG11/AG8*100,1))</f>
        <v>84.5</v>
      </c>
      <c r="AH14" s="1460" t="s">
        <v>366</v>
      </c>
      <c r="AI14" s="1460" t="s">
        <v>366</v>
      </c>
    </row>
    <row r="15" spans="1:39" ht="24.95" customHeight="1" thickBot="1">
      <c r="A15" s="779"/>
      <c r="B15" s="2513"/>
      <c r="C15" s="2509" t="s">
        <v>930</v>
      </c>
      <c r="D15" s="2509"/>
      <c r="E15" s="1469">
        <f t="shared" si="2"/>
        <v>95.3</v>
      </c>
      <c r="F15" s="1469">
        <f t="shared" si="3"/>
        <v>92.6</v>
      </c>
      <c r="G15" s="1469">
        <f t="shared" si="4"/>
        <v>91.2</v>
      </c>
      <c r="H15" s="1469">
        <f t="shared" si="5"/>
        <v>89.7</v>
      </c>
      <c r="I15" s="1469">
        <f t="shared" si="6"/>
        <v>90.8</v>
      </c>
      <c r="J15" s="1469">
        <f t="shared" si="7"/>
        <v>90.2</v>
      </c>
      <c r="K15" s="1469">
        <f t="shared" si="8"/>
        <v>87.2</v>
      </c>
      <c r="L15" s="1469">
        <f t="shared" si="9"/>
        <v>88.9</v>
      </c>
      <c r="M15" s="1469">
        <f t="shared" si="10"/>
        <v>85.7</v>
      </c>
      <c r="N15" s="1469">
        <f t="shared" si="19"/>
        <v>85.6</v>
      </c>
      <c r="O15" s="1469">
        <f t="shared" si="19"/>
        <v>82.6</v>
      </c>
      <c r="P15" s="1468" t="str">
        <f t="shared" si="15"/>
        <v>-</v>
      </c>
      <c r="Q15" s="2523" t="str">
        <f>AI15</f>
        <v>-</v>
      </c>
      <c r="R15" s="2523" t="str">
        <f>IF(AT15=0,"-",INT(AT15/1000))</f>
        <v>-</v>
      </c>
      <c r="S15" s="779"/>
      <c r="U15" s="2524"/>
      <c r="V15" s="1450" t="s">
        <v>915</v>
      </c>
      <c r="W15" s="1458">
        <f>IF(W9="-","-",ROUND(W12/W9*100,1))</f>
        <v>95.3</v>
      </c>
      <c r="X15" s="1458">
        <f t="shared" ref="X15:AF15" si="22">IF(X9="-","-",ROUND(X12/X9*100,1))</f>
        <v>92.6</v>
      </c>
      <c r="Y15" s="1458">
        <f t="shared" si="22"/>
        <v>91.2</v>
      </c>
      <c r="Z15" s="1458">
        <f t="shared" si="22"/>
        <v>89.7</v>
      </c>
      <c r="AA15" s="1458">
        <f t="shared" si="22"/>
        <v>90.8</v>
      </c>
      <c r="AB15" s="1458">
        <f t="shared" si="22"/>
        <v>90.2</v>
      </c>
      <c r="AC15" s="1458">
        <f t="shared" si="22"/>
        <v>87.2</v>
      </c>
      <c r="AD15" s="1458">
        <f t="shared" si="22"/>
        <v>88.9</v>
      </c>
      <c r="AE15" s="1458">
        <f t="shared" si="22"/>
        <v>85.7</v>
      </c>
      <c r="AF15" s="1459">
        <f t="shared" si="22"/>
        <v>85.6</v>
      </c>
      <c r="AG15" s="1461">
        <f>IF(AG9="-","-",ROUND(AG12/AG9*100,1))</f>
        <v>82.6</v>
      </c>
      <c r="AH15" s="1462" t="s">
        <v>366</v>
      </c>
      <c r="AI15" s="1462" t="s">
        <v>366</v>
      </c>
    </row>
    <row r="16" spans="1:39" ht="52.5" customHeight="1">
      <c r="A16" s="779"/>
      <c r="B16" s="668"/>
      <c r="C16" s="779"/>
      <c r="D16" s="779"/>
      <c r="E16" s="779"/>
      <c r="F16" s="779"/>
      <c r="G16" s="779"/>
      <c r="H16" s="779"/>
      <c r="I16" s="779"/>
      <c r="J16" s="779"/>
      <c r="K16" s="779"/>
      <c r="L16" s="779"/>
      <c r="M16" s="779"/>
      <c r="N16" s="779"/>
      <c r="O16" s="779"/>
      <c r="P16" s="779"/>
      <c r="Q16" s="779"/>
      <c r="R16" s="779"/>
      <c r="S16" s="779"/>
      <c r="V16" s="769" t="s">
        <v>914</v>
      </c>
      <c r="W16" s="769">
        <v>53501</v>
      </c>
      <c r="X16" s="769">
        <v>56532</v>
      </c>
      <c r="Y16" s="769">
        <v>57883</v>
      </c>
      <c r="Z16" s="769">
        <v>63109</v>
      </c>
      <c r="AA16" s="769">
        <v>58351</v>
      </c>
      <c r="AB16" s="769">
        <v>58369</v>
      </c>
      <c r="AC16" s="769">
        <v>62905</v>
      </c>
      <c r="AD16" s="769">
        <v>61841</v>
      </c>
      <c r="AE16" s="769">
        <v>65995</v>
      </c>
      <c r="AF16" s="769">
        <v>69258</v>
      </c>
      <c r="AG16" s="769">
        <v>78875</v>
      </c>
    </row>
    <row r="17" spans="1:33" ht="15.75" customHeight="1">
      <c r="A17" s="779"/>
      <c r="B17" s="668"/>
      <c r="C17" s="779"/>
      <c r="D17" s="779"/>
      <c r="E17" s="779"/>
      <c r="F17" s="779"/>
      <c r="G17" s="779"/>
      <c r="H17" s="779"/>
      <c r="I17" s="779"/>
      <c r="J17" s="779"/>
      <c r="K17" s="779"/>
      <c r="L17" s="779"/>
      <c r="M17" s="779"/>
      <c r="N17" s="779"/>
      <c r="O17" s="779"/>
      <c r="P17" s="779"/>
      <c r="Q17" s="779"/>
      <c r="R17" s="779"/>
      <c r="S17" s="779"/>
      <c r="U17" s="769" t="s">
        <v>918</v>
      </c>
    </row>
    <row r="18" spans="1:33">
      <c r="A18" s="779"/>
      <c r="B18" s="779"/>
      <c r="C18" s="668"/>
      <c r="D18" s="668"/>
      <c r="E18" s="779"/>
      <c r="F18" s="779"/>
      <c r="G18" s="779"/>
      <c r="H18" s="779"/>
      <c r="I18" s="779"/>
      <c r="J18" s="779"/>
      <c r="K18" s="779"/>
      <c r="L18" s="779"/>
      <c r="M18" s="779"/>
      <c r="N18" s="779"/>
      <c r="O18" s="779"/>
      <c r="P18" s="779"/>
      <c r="Q18" s="779"/>
      <c r="R18" s="779"/>
      <c r="S18" s="779"/>
      <c r="U18" s="2521"/>
      <c r="V18" s="2522"/>
      <c r="W18" s="1463" t="str">
        <f t="shared" ref="W18:AG18" si="23">W5</f>
        <v>2016.3</v>
      </c>
      <c r="X18" s="1463" t="str">
        <f t="shared" si="23"/>
        <v>2017.3</v>
      </c>
      <c r="Y18" s="1463" t="str">
        <f t="shared" si="23"/>
        <v>2018.3</v>
      </c>
      <c r="Z18" s="1463" t="str">
        <f t="shared" si="23"/>
        <v>2019.3</v>
      </c>
      <c r="AA18" s="1463" t="str">
        <f t="shared" si="23"/>
        <v>2020.3</v>
      </c>
      <c r="AB18" s="1463" t="str">
        <f t="shared" si="23"/>
        <v>2021.3</v>
      </c>
      <c r="AC18" s="1463" t="str">
        <f t="shared" si="23"/>
        <v>2022.3</v>
      </c>
      <c r="AD18" s="1463" t="str">
        <f t="shared" si="23"/>
        <v>2023.3</v>
      </c>
      <c r="AE18" s="1463" t="str">
        <f t="shared" si="23"/>
        <v>2024.3</v>
      </c>
      <c r="AF18" s="1463" t="str">
        <f t="shared" si="23"/>
        <v>2025.3</v>
      </c>
      <c r="AG18" s="1463" t="str">
        <f t="shared" si="23"/>
        <v>2026.3</v>
      </c>
    </row>
    <row r="19" spans="1:33" ht="12.75" customHeight="1">
      <c r="A19" s="779"/>
      <c r="B19" s="779"/>
      <c r="C19" s="668"/>
      <c r="D19" s="668"/>
      <c r="E19" s="779"/>
      <c r="F19" s="779"/>
      <c r="G19" s="779"/>
      <c r="H19" s="779"/>
      <c r="I19" s="779"/>
      <c r="J19" s="779"/>
      <c r="K19" s="779"/>
      <c r="L19" s="779"/>
      <c r="M19" s="779"/>
      <c r="N19" s="779"/>
      <c r="O19" s="779"/>
      <c r="P19" s="779"/>
      <c r="Q19" s="779"/>
      <c r="R19" s="779"/>
      <c r="S19" s="779"/>
      <c r="U19" s="2519" t="s">
        <v>920</v>
      </c>
      <c r="V19" s="2520"/>
      <c r="W19" s="1451">
        <f>W7</f>
        <v>63109</v>
      </c>
      <c r="X19" s="837">
        <f t="shared" ref="X19:AF19" si="24">X7</f>
        <v>58351</v>
      </c>
      <c r="Y19" s="837">
        <f t="shared" si="24"/>
        <v>58369</v>
      </c>
      <c r="Z19" s="837">
        <f t="shared" si="24"/>
        <v>62905</v>
      </c>
      <c r="AA19" s="837">
        <f t="shared" si="24"/>
        <v>61841</v>
      </c>
      <c r="AB19" s="837">
        <f t="shared" si="24"/>
        <v>65995</v>
      </c>
      <c r="AC19" s="837">
        <f t="shared" si="24"/>
        <v>69258</v>
      </c>
      <c r="AD19" s="837">
        <f t="shared" si="24"/>
        <v>78875</v>
      </c>
      <c r="AE19" s="837">
        <f t="shared" si="24"/>
        <v>77969</v>
      </c>
      <c r="AF19" s="837">
        <f t="shared" si="24"/>
        <v>85236</v>
      </c>
      <c r="AG19" s="1451">
        <f>AG7</f>
        <v>90594</v>
      </c>
    </row>
    <row r="20" spans="1:33" ht="12.75" customHeight="1">
      <c r="A20" s="779"/>
      <c r="B20" s="779"/>
      <c r="C20" s="779"/>
      <c r="D20" s="779"/>
      <c r="E20" s="779"/>
      <c r="F20" s="779"/>
      <c r="G20" s="779"/>
      <c r="H20" s="779"/>
      <c r="I20" s="779"/>
      <c r="J20" s="779"/>
      <c r="K20" s="779"/>
      <c r="L20" s="779"/>
      <c r="M20" s="779"/>
      <c r="N20" s="779"/>
      <c r="O20" s="779"/>
      <c r="P20" s="779"/>
      <c r="Q20" s="779"/>
      <c r="R20" s="779"/>
      <c r="S20" s="779"/>
      <c r="U20" s="2519" t="s">
        <v>919</v>
      </c>
      <c r="V20" s="2520"/>
      <c r="W20" s="837">
        <f>W8</f>
        <v>49933</v>
      </c>
      <c r="X20" s="837">
        <f t="shared" ref="X20:AE20" si="25">X8</f>
        <v>48719</v>
      </c>
      <c r="Y20" s="837">
        <f t="shared" si="25"/>
        <v>51049</v>
      </c>
      <c r="Z20" s="837">
        <f t="shared" si="25"/>
        <v>53403</v>
      </c>
      <c r="AA20" s="837">
        <f t="shared" si="25"/>
        <v>54009</v>
      </c>
      <c r="AB20" s="837">
        <f t="shared" si="25"/>
        <v>53801</v>
      </c>
      <c r="AC20" s="837">
        <f t="shared" si="25"/>
        <v>55742</v>
      </c>
      <c r="AD20" s="837">
        <f t="shared" si="25"/>
        <v>58164</v>
      </c>
      <c r="AE20" s="837">
        <f t="shared" si="25"/>
        <v>58988</v>
      </c>
      <c r="AF20" s="837">
        <f>AF8</f>
        <v>57973</v>
      </c>
      <c r="AG20" s="1451">
        <f>AG8</f>
        <v>68308</v>
      </c>
    </row>
    <row r="21" spans="1:33">
      <c r="A21" s="779"/>
      <c r="B21" s="779"/>
      <c r="C21" s="779"/>
      <c r="D21" s="779"/>
      <c r="E21" s="779"/>
      <c r="F21" s="779"/>
      <c r="G21" s="779"/>
      <c r="H21" s="779"/>
      <c r="I21" s="779"/>
      <c r="J21" s="779"/>
      <c r="K21" s="779"/>
      <c r="L21" s="779"/>
      <c r="M21" s="779"/>
      <c r="N21" s="779"/>
      <c r="O21" s="779"/>
      <c r="P21" s="779"/>
      <c r="Q21" s="779"/>
      <c r="R21" s="779"/>
      <c r="S21" s="779"/>
      <c r="U21" s="2519" t="s">
        <v>921</v>
      </c>
      <c r="V21" s="2520"/>
      <c r="W21" s="837">
        <f>IF(W15="-",NA(),W15)</f>
        <v>95.3</v>
      </c>
      <c r="X21" s="837">
        <f>IF(X15="-",NA(),X15)</f>
        <v>92.6</v>
      </c>
      <c r="Y21" s="837">
        <f t="shared" ref="Y21:AF21" si="26">Y15</f>
        <v>91.2</v>
      </c>
      <c r="Z21" s="837">
        <f t="shared" si="26"/>
        <v>89.7</v>
      </c>
      <c r="AA21" s="837">
        <f t="shared" si="26"/>
        <v>90.8</v>
      </c>
      <c r="AB21" s="837">
        <f t="shared" si="26"/>
        <v>90.2</v>
      </c>
      <c r="AC21" s="837">
        <f t="shared" si="26"/>
        <v>87.2</v>
      </c>
      <c r="AD21" s="837">
        <f t="shared" si="26"/>
        <v>88.9</v>
      </c>
      <c r="AE21" s="837">
        <f t="shared" si="26"/>
        <v>85.7</v>
      </c>
      <c r="AF21" s="837">
        <f t="shared" si="26"/>
        <v>85.6</v>
      </c>
      <c r="AG21" s="1458">
        <f>AG15</f>
        <v>82.6</v>
      </c>
    </row>
    <row r="22" spans="1:33" ht="12.75" customHeight="1">
      <c r="A22" s="779"/>
      <c r="B22" s="779"/>
      <c r="C22" s="779"/>
      <c r="D22" s="779"/>
      <c r="E22" s="779"/>
      <c r="F22" s="779"/>
      <c r="G22" s="779"/>
      <c r="H22" s="779"/>
      <c r="I22" s="779"/>
      <c r="J22" s="779"/>
      <c r="K22" s="779"/>
      <c r="L22" s="779"/>
      <c r="M22" s="779"/>
      <c r="N22" s="779"/>
      <c r="O22" s="779"/>
      <c r="P22" s="779"/>
      <c r="Q22" s="779"/>
      <c r="R22" s="779"/>
      <c r="S22" s="779"/>
    </row>
    <row r="23" spans="1:33" ht="12.75" customHeight="1">
      <c r="A23" s="779"/>
      <c r="B23" s="779"/>
      <c r="C23" s="779"/>
      <c r="D23" s="779"/>
      <c r="E23" s="779"/>
      <c r="F23" s="779"/>
      <c r="G23" s="779"/>
      <c r="H23" s="779"/>
      <c r="I23" s="779"/>
      <c r="J23" s="779"/>
      <c r="K23" s="779"/>
      <c r="L23" s="779"/>
      <c r="M23" s="779"/>
      <c r="N23" s="779"/>
      <c r="O23" s="779"/>
      <c r="P23" s="779"/>
      <c r="Q23" s="779"/>
      <c r="R23" s="779"/>
      <c r="S23" s="779"/>
    </row>
    <row r="24" spans="1:33">
      <c r="A24" s="779"/>
      <c r="B24" s="779"/>
      <c r="C24" s="779"/>
      <c r="D24" s="779"/>
      <c r="E24" s="779"/>
      <c r="F24" s="779"/>
      <c r="G24" s="779"/>
      <c r="H24" s="779"/>
      <c r="I24" s="779"/>
      <c r="J24" s="779"/>
      <c r="K24" s="779"/>
      <c r="L24" s="779"/>
      <c r="M24" s="779"/>
      <c r="N24" s="779"/>
      <c r="O24" s="779"/>
      <c r="P24" s="779"/>
      <c r="Q24" s="779"/>
      <c r="R24" s="779"/>
      <c r="S24" s="779"/>
      <c r="U24" s="769" t="s">
        <v>922</v>
      </c>
    </row>
    <row r="25" spans="1:33">
      <c r="A25" s="779"/>
      <c r="B25" s="779"/>
      <c r="C25" s="779"/>
      <c r="D25" s="779"/>
      <c r="E25" s="779"/>
      <c r="F25" s="779"/>
      <c r="G25" s="779"/>
      <c r="H25" s="779"/>
      <c r="I25" s="779"/>
      <c r="J25" s="779"/>
      <c r="K25" s="779"/>
      <c r="L25" s="779"/>
      <c r="M25" s="779"/>
      <c r="N25" s="779"/>
      <c r="O25" s="779"/>
      <c r="P25" s="779"/>
      <c r="Q25" s="779"/>
      <c r="R25" s="779"/>
      <c r="S25" s="779"/>
      <c r="U25" s="769" t="s">
        <v>923</v>
      </c>
    </row>
    <row r="26" spans="1:33">
      <c r="A26" s="779"/>
      <c r="B26" s="779"/>
      <c r="C26" s="779"/>
      <c r="D26" s="779"/>
      <c r="E26" s="779"/>
      <c r="F26" s="779"/>
      <c r="G26" s="779"/>
      <c r="H26" s="779"/>
      <c r="I26" s="779"/>
      <c r="J26" s="779"/>
      <c r="K26" s="779"/>
      <c r="L26" s="779"/>
      <c r="M26" s="779"/>
      <c r="N26" s="779"/>
      <c r="O26" s="779"/>
      <c r="P26" s="779"/>
      <c r="Q26" s="779"/>
      <c r="R26" s="779"/>
      <c r="S26" s="779"/>
      <c r="U26" s="769" t="s">
        <v>924</v>
      </c>
    </row>
    <row r="27" spans="1:33">
      <c r="A27" s="779"/>
      <c r="B27" s="779"/>
      <c r="C27" s="779"/>
      <c r="D27" s="779"/>
      <c r="E27" s="779"/>
      <c r="F27" s="779"/>
      <c r="G27" s="779"/>
      <c r="H27" s="779"/>
      <c r="I27" s="779"/>
      <c r="J27" s="779"/>
      <c r="K27" s="779"/>
      <c r="L27" s="779"/>
      <c r="M27" s="779"/>
      <c r="N27" s="779"/>
      <c r="O27" s="779"/>
      <c r="P27" s="779"/>
      <c r="Q27" s="779"/>
      <c r="R27" s="779"/>
      <c r="S27" s="779"/>
    </row>
    <row r="28" spans="1:33">
      <c r="A28" s="779"/>
      <c r="B28" s="779"/>
      <c r="C28" s="779"/>
      <c r="D28" s="779"/>
      <c r="E28" s="779"/>
      <c r="F28" s="779"/>
      <c r="G28" s="779"/>
      <c r="H28" s="779"/>
      <c r="I28" s="779"/>
      <c r="J28" s="779"/>
      <c r="K28" s="779"/>
      <c r="L28" s="779"/>
      <c r="M28" s="779"/>
      <c r="N28" s="779"/>
      <c r="O28" s="779"/>
      <c r="P28" s="779"/>
      <c r="Q28" s="779"/>
      <c r="R28" s="779"/>
      <c r="S28" s="779"/>
      <c r="U28" s="769" t="s">
        <v>925</v>
      </c>
    </row>
    <row r="29" spans="1:33">
      <c r="A29" s="779"/>
      <c r="B29" s="779"/>
      <c r="C29" s="779"/>
      <c r="D29" s="779"/>
      <c r="E29" s="779"/>
      <c r="F29" s="779"/>
      <c r="G29" s="779"/>
      <c r="H29" s="779"/>
      <c r="I29" s="779"/>
      <c r="J29" s="779"/>
      <c r="K29" s="779"/>
      <c r="L29" s="779"/>
      <c r="M29" s="779"/>
      <c r="N29" s="779"/>
      <c r="O29" s="779"/>
      <c r="P29" s="779"/>
      <c r="Q29" s="779"/>
      <c r="R29" s="779"/>
      <c r="S29" s="779"/>
      <c r="U29" s="769" t="s">
        <v>926</v>
      </c>
    </row>
    <row r="30" spans="1:33">
      <c r="A30" s="779"/>
      <c r="B30" s="779"/>
      <c r="C30" s="779"/>
      <c r="D30" s="779"/>
      <c r="E30" s="779"/>
      <c r="F30" s="779"/>
      <c r="G30" s="779"/>
      <c r="H30" s="779"/>
      <c r="I30" s="779"/>
      <c r="J30" s="779"/>
      <c r="K30" s="779"/>
      <c r="L30" s="779"/>
      <c r="M30" s="779"/>
      <c r="N30" s="779"/>
      <c r="O30" s="779"/>
      <c r="P30" s="779"/>
      <c r="Q30" s="779"/>
      <c r="R30" s="779"/>
      <c r="S30" s="779"/>
    </row>
    <row r="31" spans="1:33" ht="30" customHeight="1">
      <c r="A31" s="779"/>
      <c r="B31" s="779"/>
      <c r="C31" s="779"/>
      <c r="D31" s="779"/>
      <c r="E31" s="779"/>
      <c r="F31" s="779"/>
      <c r="G31" s="779"/>
      <c r="H31" s="779"/>
      <c r="I31" s="779"/>
      <c r="J31" s="779"/>
      <c r="K31" s="779"/>
      <c r="L31" s="779"/>
      <c r="M31" s="779"/>
      <c r="N31" s="779"/>
      <c r="O31" s="779"/>
      <c r="P31" s="779"/>
      <c r="Q31" s="779"/>
      <c r="R31" s="779"/>
      <c r="S31" s="779"/>
      <c r="U31" s="786" t="s">
        <v>746</v>
      </c>
      <c r="V31" s="1060" t="s">
        <v>1436</v>
      </c>
      <c r="W31" s="846"/>
      <c r="X31" s="846"/>
      <c r="Y31" s="846"/>
      <c r="Z31" s="846"/>
      <c r="AA31" s="846"/>
      <c r="AB31" s="846"/>
      <c r="AC31" s="846"/>
      <c r="AD31" s="846"/>
      <c r="AE31" s="847"/>
    </row>
    <row r="32" spans="1:33" ht="57" customHeight="1">
      <c r="A32" s="779"/>
      <c r="B32" s="779"/>
      <c r="C32" s="779"/>
      <c r="D32" s="779"/>
      <c r="E32" s="779"/>
      <c r="F32" s="779"/>
      <c r="G32" s="779"/>
      <c r="H32" s="779"/>
      <c r="I32" s="779"/>
      <c r="J32" s="779"/>
      <c r="K32" s="779"/>
      <c r="L32" s="779"/>
      <c r="M32" s="779"/>
      <c r="N32" s="779"/>
      <c r="O32" s="779"/>
      <c r="P32" s="779"/>
      <c r="Q32" s="779"/>
      <c r="R32" s="779"/>
      <c r="S32" s="779"/>
      <c r="U32" s="848"/>
      <c r="V32" s="849" t="s">
        <v>927</v>
      </c>
      <c r="W32" s="849"/>
      <c r="X32" s="849"/>
      <c r="Y32" s="849"/>
      <c r="Z32" s="849"/>
      <c r="AA32" s="849"/>
      <c r="AB32" s="849"/>
      <c r="AC32" s="849"/>
      <c r="AD32" s="849"/>
      <c r="AE32" s="850"/>
    </row>
    <row r="33" spans="1:19">
      <c r="A33" s="779"/>
      <c r="B33" s="779"/>
      <c r="C33" s="779"/>
      <c r="D33" s="779"/>
      <c r="E33" s="779"/>
      <c r="F33" s="779"/>
      <c r="G33" s="779"/>
      <c r="H33" s="779"/>
      <c r="I33" s="779"/>
      <c r="J33" s="779"/>
      <c r="K33" s="779"/>
      <c r="L33" s="779"/>
      <c r="M33" s="779"/>
      <c r="N33" s="779"/>
      <c r="O33" s="779"/>
      <c r="P33" s="779"/>
      <c r="Q33" s="779"/>
      <c r="R33" s="779"/>
      <c r="S33" s="779"/>
    </row>
    <row r="34" spans="1:19" ht="12.75" customHeight="1">
      <c r="A34" s="779"/>
      <c r="B34" s="779"/>
      <c r="C34" s="779"/>
      <c r="D34" s="779"/>
      <c r="E34" s="779"/>
      <c r="F34" s="779"/>
      <c r="G34" s="779"/>
      <c r="H34" s="779"/>
      <c r="I34" s="779"/>
      <c r="J34" s="779"/>
      <c r="K34" s="779"/>
      <c r="L34" s="779"/>
      <c r="M34" s="779"/>
      <c r="N34" s="779"/>
      <c r="O34" s="779"/>
      <c r="P34" s="779"/>
      <c r="Q34" s="779"/>
      <c r="R34" s="779"/>
      <c r="S34" s="779"/>
    </row>
    <row r="35" spans="1:19">
      <c r="A35" s="779"/>
      <c r="B35" s="779"/>
      <c r="C35" s="779"/>
      <c r="D35" s="779"/>
      <c r="E35" s="779"/>
      <c r="F35" s="779"/>
      <c r="G35" s="779"/>
      <c r="H35" s="779"/>
      <c r="I35" s="779"/>
      <c r="J35" s="779"/>
      <c r="K35" s="779"/>
      <c r="L35" s="779"/>
      <c r="M35" s="779"/>
      <c r="N35" s="779"/>
      <c r="O35" s="779"/>
      <c r="P35" s="779"/>
      <c r="Q35" s="779"/>
      <c r="R35" s="779"/>
      <c r="S35" s="779"/>
    </row>
    <row r="36" spans="1:19">
      <c r="A36" s="779"/>
      <c r="B36" s="779"/>
      <c r="C36" s="779"/>
      <c r="D36" s="779"/>
      <c r="E36" s="779"/>
      <c r="F36" s="779"/>
      <c r="G36" s="779"/>
      <c r="H36" s="779"/>
      <c r="I36" s="779"/>
      <c r="J36" s="779"/>
      <c r="K36" s="779"/>
      <c r="L36" s="779"/>
      <c r="M36" s="779"/>
      <c r="N36" s="779"/>
      <c r="O36" s="779"/>
      <c r="P36" s="779"/>
      <c r="Q36" s="779"/>
      <c r="R36" s="779"/>
      <c r="S36" s="779"/>
    </row>
    <row r="37" spans="1:19">
      <c r="A37" s="779"/>
      <c r="B37" s="779"/>
      <c r="C37" s="779"/>
      <c r="D37" s="779"/>
      <c r="E37" s="779"/>
      <c r="F37" s="779"/>
      <c r="G37" s="779"/>
      <c r="H37" s="779"/>
      <c r="I37" s="779"/>
      <c r="J37" s="779"/>
      <c r="K37" s="779"/>
      <c r="L37" s="779"/>
      <c r="M37" s="779"/>
      <c r="N37" s="779"/>
      <c r="O37" s="779"/>
      <c r="P37" s="779"/>
      <c r="Q37" s="779"/>
      <c r="R37" s="779"/>
      <c r="S37" s="779"/>
    </row>
    <row r="38" spans="1:19">
      <c r="A38" s="779"/>
      <c r="B38" s="779"/>
      <c r="C38" s="779"/>
      <c r="D38" s="779"/>
      <c r="E38" s="779"/>
      <c r="F38" s="779"/>
      <c r="G38" s="779"/>
      <c r="H38" s="779"/>
      <c r="I38" s="779"/>
      <c r="J38" s="779"/>
      <c r="K38" s="779"/>
      <c r="L38" s="779"/>
      <c r="M38" s="779"/>
      <c r="N38" s="779"/>
      <c r="O38" s="779"/>
      <c r="P38" s="779"/>
      <c r="Q38" s="779"/>
      <c r="R38" s="779"/>
      <c r="S38" s="779"/>
    </row>
    <row r="39" spans="1:19" ht="26.25" customHeight="1">
      <c r="A39" s="779"/>
      <c r="B39" s="779"/>
      <c r="C39" s="779"/>
      <c r="D39" s="779"/>
      <c r="E39" s="779"/>
      <c r="F39" s="779"/>
      <c r="G39" s="779"/>
      <c r="H39" s="779"/>
      <c r="I39" s="779"/>
      <c r="J39" s="779"/>
      <c r="K39" s="779"/>
      <c r="L39" s="779"/>
      <c r="M39" s="779"/>
      <c r="N39" s="779"/>
      <c r="O39" s="779"/>
      <c r="P39" s="779"/>
      <c r="Q39" s="779"/>
      <c r="R39" s="779"/>
      <c r="S39" s="779"/>
    </row>
    <row r="44" spans="1:19" ht="9" customHeight="1"/>
  </sheetData>
  <sheetProtection algorithmName="SHA-512" hashValue="ek73ozV9eTeM/gSTcv6cySVkRVlwrVmjA/YT5xr0avNgqUfe6HtPkEH+JcIs+AzaT/K3rextfVllVHBwRRY0/A==" saltValue="z5KWwq9V09Y0FQ9bVKNNvQ==" spinCount="100000" sheet="1" objects="1" scenarios="1"/>
  <customSheetViews>
    <customSheetView guid="{06451E13-97D0-44F4-875B-E8D80B2F1CF1}" scale="85" showPageBreaks="1" fitToPage="1" printArea="1" view="pageBreakPreview" topLeftCell="A7">
      <selection activeCell="AC20" sqref="AC20"/>
      <pageMargins left="0" right="0" top="0" bottom="0" header="0" footer="0"/>
      <printOptions horizontalCentered="1" verticalCentered="1"/>
      <pageSetup paperSize="9" scale="85" orientation="landscape" r:id="rId1"/>
      <headerFooter scaleWithDoc="0" alignWithMargins="0">
        <oddFooter>&amp;C&amp;"Arial,標準"&amp;12 16</oddFooter>
      </headerFooter>
    </customSheetView>
  </customSheetViews>
  <mergeCells count="43">
    <mergeCell ref="Q11:R11"/>
    <mergeCell ref="Q9:R9"/>
    <mergeCell ref="U7:U9"/>
    <mergeCell ref="B7:B9"/>
    <mergeCell ref="B10:B12"/>
    <mergeCell ref="Q12:R12"/>
    <mergeCell ref="Q7:R7"/>
    <mergeCell ref="Q8:R8"/>
    <mergeCell ref="Q10:R10"/>
    <mergeCell ref="U10:U12"/>
    <mergeCell ref="C7:D7"/>
    <mergeCell ref="C8:D8"/>
    <mergeCell ref="C9:D9"/>
    <mergeCell ref="C10:D10"/>
    <mergeCell ref="C11:D11"/>
    <mergeCell ref="C12:D12"/>
    <mergeCell ref="U20:V20"/>
    <mergeCell ref="U19:V19"/>
    <mergeCell ref="U18:V18"/>
    <mergeCell ref="U21:V21"/>
    <mergeCell ref="Q15:R15"/>
    <mergeCell ref="U13:U15"/>
    <mergeCell ref="Q13:R13"/>
    <mergeCell ref="Q14:R14"/>
    <mergeCell ref="O5:O6"/>
    <mergeCell ref="Q5:R5"/>
    <mergeCell ref="Q6:R6"/>
    <mergeCell ref="U5:V6"/>
    <mergeCell ref="L5:L6"/>
    <mergeCell ref="M5:M6"/>
    <mergeCell ref="N5:N6"/>
    <mergeCell ref="E5:E6"/>
    <mergeCell ref="K5:K6"/>
    <mergeCell ref="F5:F6"/>
    <mergeCell ref="G5:G6"/>
    <mergeCell ref="H5:H6"/>
    <mergeCell ref="I5:I6"/>
    <mergeCell ref="J5:J6"/>
    <mergeCell ref="C13:D13"/>
    <mergeCell ref="C14:D14"/>
    <mergeCell ref="C15:D15"/>
    <mergeCell ref="B5:D6"/>
    <mergeCell ref="B13:B15"/>
  </mergeCells>
  <phoneticPr fontId="17"/>
  <printOptions horizontalCentered="1" verticalCentered="1"/>
  <pageMargins left="0" right="0" top="0" bottom="0" header="0" footer="0"/>
  <pageSetup paperSize="9" scale="89" orientation="landscape" r:id="rId2"/>
  <headerFooter scaleWithDoc="0" alignWithMargins="0">
    <oddFooter>&amp;C&amp;"Arial,標準"&amp;12 16</oddFooter>
  </headerFooter>
  <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AK44"/>
  <sheetViews>
    <sheetView view="pageBreakPreview" zoomScale="70" zoomScaleNormal="85" zoomScaleSheetLayoutView="70" workbookViewId="0">
      <selection activeCell="T1" sqref="T1:AN1048576"/>
    </sheetView>
  </sheetViews>
  <sheetFormatPr defaultColWidth="9.140625" defaultRowHeight="12"/>
  <cols>
    <col min="1" max="1" width="10.5703125" style="144" customWidth="1"/>
    <col min="2" max="2" width="2.85546875" style="144" customWidth="1"/>
    <col min="3" max="3" width="26.140625" style="144" customWidth="1"/>
    <col min="4" max="4" width="13.140625" style="144" customWidth="1"/>
    <col min="5" max="5" width="14.42578125" style="144" customWidth="1"/>
    <col min="6" max="18" width="8.85546875" style="144" customWidth="1"/>
    <col min="19" max="19" width="9" style="144" customWidth="1"/>
    <col min="20" max="20" width="10.140625" style="144" hidden="1" customWidth="1"/>
    <col min="21" max="21" width="28.140625" style="144" hidden="1" customWidth="1"/>
    <col min="22" max="22" width="11.42578125" style="144" hidden="1" customWidth="1"/>
    <col min="23" max="23" width="15.5703125" style="144" hidden="1" customWidth="1"/>
    <col min="24" max="24" width="15.42578125" style="144" hidden="1" customWidth="1"/>
    <col min="25" max="25" width="15.140625" style="144" hidden="1" customWidth="1"/>
    <col min="26" max="26" width="15" style="144" hidden="1" customWidth="1"/>
    <col min="27" max="32" width="15.5703125" style="144" hidden="1" customWidth="1"/>
    <col min="33" max="33" width="15.140625" style="144" hidden="1" customWidth="1"/>
    <col min="34" max="34" width="10.42578125" style="144" hidden="1" customWidth="1"/>
    <col min="35" max="35" width="15.140625" style="144" hidden="1" customWidth="1"/>
    <col min="36" max="36" width="2" style="144" hidden="1" customWidth="1"/>
    <col min="37" max="37" width="3.140625" style="144" hidden="1" customWidth="1"/>
    <col min="38" max="40" width="0" style="144" hidden="1" customWidth="1"/>
    <col min="41" max="16384" width="9.140625" style="144"/>
  </cols>
  <sheetData>
    <row r="1" spans="1:37" ht="56.25" customHeight="1">
      <c r="A1" s="1131"/>
      <c r="B1" s="1131"/>
      <c r="C1" s="1131"/>
      <c r="D1" s="1131"/>
      <c r="E1" s="1131"/>
      <c r="F1" s="1131"/>
      <c r="G1" s="1131"/>
      <c r="H1" s="1131"/>
      <c r="I1" s="1131"/>
      <c r="J1" s="1131"/>
      <c r="K1" s="1131"/>
      <c r="L1" s="1131"/>
      <c r="M1" s="1131"/>
      <c r="N1" s="1131"/>
      <c r="O1" s="1131"/>
      <c r="P1" s="1131"/>
      <c r="Q1" s="1131"/>
      <c r="R1" s="1131"/>
      <c r="S1" s="1131"/>
    </row>
    <row r="2" spans="1:37" ht="19.5" customHeight="1">
      <c r="A2" s="1134"/>
      <c r="B2" s="1134"/>
      <c r="C2" s="1134"/>
      <c r="D2" s="1134"/>
      <c r="E2" s="1134"/>
      <c r="F2" s="1131"/>
      <c r="G2" s="1131"/>
      <c r="H2" s="1131"/>
      <c r="I2" s="1131"/>
      <c r="J2" s="1131"/>
      <c r="K2" s="1131"/>
      <c r="L2" s="1131"/>
      <c r="M2" s="1131"/>
      <c r="N2" s="1131"/>
      <c r="O2" s="1131"/>
      <c r="P2" s="1131"/>
      <c r="Q2" s="1131"/>
      <c r="R2" s="1131"/>
      <c r="S2" s="1131"/>
    </row>
    <row r="3" spans="1:37" ht="31.5" customHeight="1">
      <c r="A3" s="1131"/>
      <c r="B3" s="1131"/>
      <c r="C3" s="1131"/>
      <c r="D3" s="1131"/>
      <c r="E3" s="1131"/>
      <c r="F3" s="1131"/>
      <c r="G3" s="1131"/>
      <c r="H3" s="1131"/>
      <c r="I3" s="1131"/>
      <c r="J3" s="1131"/>
      <c r="K3" s="1131"/>
      <c r="L3" s="1131"/>
      <c r="M3" s="1131"/>
      <c r="N3" s="1131"/>
      <c r="O3" s="1131"/>
      <c r="P3" s="1131"/>
      <c r="Q3" s="1131"/>
      <c r="R3" s="1131"/>
      <c r="S3" s="1131"/>
      <c r="AE3" s="144">
        <v>45.480283416910879</v>
      </c>
    </row>
    <row r="4" spans="1:37" ht="26.25" customHeight="1" thickBot="1">
      <c r="A4" s="1131"/>
      <c r="B4" s="1131"/>
      <c r="C4" s="1131"/>
      <c r="D4" s="1131"/>
      <c r="E4" s="1131"/>
      <c r="F4" s="1131"/>
      <c r="G4" s="1131"/>
      <c r="H4" s="1135"/>
      <c r="I4" s="1131"/>
      <c r="J4" s="1135"/>
      <c r="K4" s="1135"/>
      <c r="L4" s="1131"/>
      <c r="M4" s="1135"/>
      <c r="N4" s="1135"/>
      <c r="O4" s="1135"/>
      <c r="P4" s="1136"/>
      <c r="Q4" s="1137"/>
      <c r="R4" s="1815" t="s">
        <v>1677</v>
      </c>
      <c r="S4" s="1131"/>
      <c r="U4" s="144" t="s">
        <v>242</v>
      </c>
      <c r="V4" s="167" t="s">
        <v>1690</v>
      </c>
      <c r="W4" s="146"/>
      <c r="X4" s="146"/>
      <c r="Y4" s="146"/>
      <c r="Z4" s="146"/>
      <c r="AA4" s="146"/>
      <c r="AB4" s="146"/>
      <c r="AC4" s="146"/>
      <c r="AD4" s="146"/>
      <c r="AE4" s="146"/>
      <c r="AG4" s="146"/>
      <c r="AH4" s="146"/>
      <c r="AI4" s="146"/>
    </row>
    <row r="5" spans="1:37" s="148" customFormat="1" ht="24" customHeight="1">
      <c r="A5" s="1132"/>
      <c r="B5" s="2478"/>
      <c r="C5" s="2478"/>
      <c r="D5" s="2478"/>
      <c r="E5" s="2478"/>
      <c r="F5" s="2453" t="str">
        <f>W5</f>
        <v>2016.3</v>
      </c>
      <c r="G5" s="2453" t="str">
        <f>X5</f>
        <v>2017.3</v>
      </c>
      <c r="H5" s="2206" t="str">
        <f t="shared" ref="H5:P5" si="0">Y5</f>
        <v>2018.3</v>
      </c>
      <c r="I5" s="2206" t="str">
        <f t="shared" si="0"/>
        <v>2019.3</v>
      </c>
      <c r="J5" s="2206" t="str">
        <f t="shared" si="0"/>
        <v>2020.3</v>
      </c>
      <c r="K5" s="2206" t="str">
        <f t="shared" si="0"/>
        <v>2021.3</v>
      </c>
      <c r="L5" s="2206" t="str">
        <f t="shared" si="0"/>
        <v>2022.3</v>
      </c>
      <c r="M5" s="2206" t="str">
        <f t="shared" si="0"/>
        <v>2023.3</v>
      </c>
      <c r="N5" s="2206" t="str">
        <f t="shared" si="0"/>
        <v>2024.3</v>
      </c>
      <c r="O5" s="2206" t="str">
        <f t="shared" si="0"/>
        <v>2025.3</v>
      </c>
      <c r="P5" s="2306" t="str">
        <f t="shared" si="0"/>
        <v>2026.3</v>
      </c>
      <c r="Q5" s="912" t="s">
        <v>638</v>
      </c>
      <c r="R5" s="913" t="s">
        <v>558</v>
      </c>
      <c r="S5" s="1132"/>
      <c r="T5" s="149"/>
      <c r="U5" s="2543"/>
      <c r="V5" s="2543"/>
      <c r="W5" s="151" t="s">
        <v>260</v>
      </c>
      <c r="X5" s="151" t="s">
        <v>261</v>
      </c>
      <c r="Y5" s="151" t="s">
        <v>377</v>
      </c>
      <c r="Z5" s="151" t="s">
        <v>396</v>
      </c>
      <c r="AA5" s="151" t="s">
        <v>422</v>
      </c>
      <c r="AB5" s="151" t="s">
        <v>447</v>
      </c>
      <c r="AC5" s="151" t="s">
        <v>1089</v>
      </c>
      <c r="AD5" s="151" t="s">
        <v>1430</v>
      </c>
      <c r="AE5" s="150" t="s">
        <v>1506</v>
      </c>
      <c r="AF5" s="165" t="s">
        <v>1626</v>
      </c>
      <c r="AG5" s="175" t="s">
        <v>1628</v>
      </c>
      <c r="AH5" s="184" t="s">
        <v>155</v>
      </c>
      <c r="AI5" s="173" t="s">
        <v>83</v>
      </c>
      <c r="AJ5" s="114"/>
    </row>
    <row r="6" spans="1:37" s="148" customFormat="1" ht="18.95" customHeight="1" thickBot="1">
      <c r="A6" s="1132"/>
      <c r="B6" s="2479"/>
      <c r="C6" s="2479"/>
      <c r="D6" s="2479"/>
      <c r="E6" s="2479"/>
      <c r="F6" s="2207"/>
      <c r="G6" s="2207"/>
      <c r="H6" s="2207"/>
      <c r="I6" s="2207"/>
      <c r="J6" s="2207"/>
      <c r="K6" s="2207"/>
      <c r="L6" s="2207"/>
      <c r="M6" s="2207"/>
      <c r="N6" s="2207"/>
      <c r="O6" s="2207"/>
      <c r="P6" s="2450"/>
      <c r="Q6" s="646" t="s">
        <v>511</v>
      </c>
      <c r="R6" s="647" t="s">
        <v>509</v>
      </c>
      <c r="S6" s="1132"/>
      <c r="T6" s="149"/>
      <c r="U6" s="2544"/>
      <c r="V6" s="2544"/>
      <c r="W6" s="154"/>
      <c r="X6" s="154"/>
      <c r="Y6" s="154"/>
      <c r="Z6" s="154"/>
      <c r="AA6" s="154"/>
      <c r="AB6" s="154"/>
      <c r="AC6" s="154"/>
      <c r="AD6" s="154"/>
      <c r="AE6" s="153"/>
      <c r="AF6" s="177"/>
      <c r="AG6" s="178"/>
      <c r="AH6" s="185" t="s">
        <v>373</v>
      </c>
      <c r="AI6" s="186" t="s">
        <v>6</v>
      </c>
      <c r="AJ6" s="114"/>
    </row>
    <row r="7" spans="1:37" ht="17.100000000000001" customHeight="1" thickTop="1">
      <c r="A7" s="1131"/>
      <c r="B7" s="2542" t="s">
        <v>932</v>
      </c>
      <c r="C7" s="2542"/>
      <c r="D7" s="2534" t="s">
        <v>934</v>
      </c>
      <c r="E7" s="2534"/>
      <c r="F7" s="1130">
        <f t="shared" ref="F7:P7" si="1">IF(OR(W7="-",W7=""),"-",ROUNDDOWN(W7,-6)/1000000)</f>
        <v>6765</v>
      </c>
      <c r="G7" s="1130">
        <f t="shared" si="1"/>
        <v>5804</v>
      </c>
      <c r="H7" s="1130">
        <f t="shared" si="1"/>
        <v>5866</v>
      </c>
      <c r="I7" s="1470">
        <f t="shared" si="1"/>
        <v>5702</v>
      </c>
      <c r="J7" s="1470">
        <f t="shared" si="1"/>
        <v>5059</v>
      </c>
      <c r="K7" s="1470">
        <f t="shared" si="1"/>
        <v>4947</v>
      </c>
      <c r="L7" s="1470">
        <f t="shared" si="1"/>
        <v>5296</v>
      </c>
      <c r="M7" s="1470">
        <f t="shared" si="1"/>
        <v>6187</v>
      </c>
      <c r="N7" s="1470">
        <f t="shared" si="1"/>
        <v>6865</v>
      </c>
      <c r="O7" s="1470">
        <f t="shared" si="1"/>
        <v>7307</v>
      </c>
      <c r="P7" s="1130">
        <f t="shared" si="1"/>
        <v>7432</v>
      </c>
      <c r="Q7" s="1471">
        <f>AH7</f>
        <v>1.7136353984191999</v>
      </c>
      <c r="R7" s="1471">
        <f>AI7</f>
        <v>0.94443082817725621</v>
      </c>
      <c r="S7" s="1131"/>
      <c r="U7" s="166" t="s">
        <v>9</v>
      </c>
      <c r="V7" s="188" t="s">
        <v>69</v>
      </c>
      <c r="W7" s="7">
        <v>6765543854</v>
      </c>
      <c r="X7" s="189">
        <v>5804253353</v>
      </c>
      <c r="Y7" s="189">
        <v>5866784678</v>
      </c>
      <c r="Z7" s="189">
        <v>5702986067</v>
      </c>
      <c r="AA7" s="189">
        <v>5059472645</v>
      </c>
      <c r="AB7" s="189">
        <v>4947263560</v>
      </c>
      <c r="AC7" s="189">
        <v>5296471205</v>
      </c>
      <c r="AD7" s="189">
        <v>6187600850</v>
      </c>
      <c r="AE7" s="18">
        <v>6865138452</v>
      </c>
      <c r="AF7" s="190">
        <v>7307135702</v>
      </c>
      <c r="AG7" s="19">
        <v>7432353366</v>
      </c>
      <c r="AH7" s="191">
        <f>IF(ISERROR((AG7/AF7-1)*100),"-",(AG7/AF7-1)*100)</f>
        <v>1.7136353984191999</v>
      </c>
      <c r="AI7" s="192">
        <f>IF(ISERROR(((AG7/W7)^(1/10)-1)*100),"-",((AG7/W7)^(1/10)-1)*100)</f>
        <v>0.94443082817725621</v>
      </c>
      <c r="AJ7" s="114"/>
      <c r="AK7" s="155"/>
    </row>
    <row r="8" spans="1:37" ht="17.100000000000001" customHeight="1">
      <c r="A8" s="1131"/>
      <c r="B8" s="2537"/>
      <c r="C8" s="2537"/>
      <c r="D8" s="2535" t="s">
        <v>935</v>
      </c>
      <c r="E8" s="2535"/>
      <c r="F8" s="1472">
        <f t="shared" ref="F8:P8" si="2">IF(OR(W8="-",W8=""),"-",ROUNDDOWN(W8,-6)/1000000)</f>
        <v>386</v>
      </c>
      <c r="G8" s="1472">
        <f t="shared" si="2"/>
        <v>125</v>
      </c>
      <c r="H8" s="1472">
        <f t="shared" si="2"/>
        <v>113</v>
      </c>
      <c r="I8" s="1473">
        <f t="shared" si="2"/>
        <v>65</v>
      </c>
      <c r="J8" s="1473">
        <f t="shared" si="2"/>
        <v>64</v>
      </c>
      <c r="K8" s="1473">
        <f t="shared" si="2"/>
        <v>142</v>
      </c>
      <c r="L8" s="1473">
        <f t="shared" si="2"/>
        <v>75</v>
      </c>
      <c r="M8" s="1473">
        <f t="shared" si="2"/>
        <v>110</v>
      </c>
      <c r="N8" s="1473">
        <f t="shared" si="2"/>
        <v>177</v>
      </c>
      <c r="O8" s="1473">
        <f t="shared" si="2"/>
        <v>191</v>
      </c>
      <c r="P8" s="1472">
        <f t="shared" si="2"/>
        <v>120</v>
      </c>
      <c r="Q8" s="1082">
        <f>AH8</f>
        <v>-37.225905479442211</v>
      </c>
      <c r="R8" s="1082">
        <f>AI8</f>
        <v>-11.039435971195321</v>
      </c>
      <c r="S8" s="1131"/>
      <c r="U8" s="166"/>
      <c r="V8" s="188" t="s">
        <v>144</v>
      </c>
      <c r="W8" s="7">
        <v>386754425</v>
      </c>
      <c r="X8" s="189">
        <v>125229841</v>
      </c>
      <c r="Y8" s="189">
        <v>113443755</v>
      </c>
      <c r="Z8" s="189">
        <v>65039773</v>
      </c>
      <c r="AA8" s="189">
        <v>64440560</v>
      </c>
      <c r="AB8" s="189">
        <v>142635457</v>
      </c>
      <c r="AC8" s="189">
        <v>75904151</v>
      </c>
      <c r="AD8" s="189">
        <v>110452574</v>
      </c>
      <c r="AE8" s="18">
        <v>177454374</v>
      </c>
      <c r="AF8" s="190">
        <v>191262625</v>
      </c>
      <c r="AG8" s="19">
        <v>120063381</v>
      </c>
      <c r="AH8" s="191">
        <f>IF(ISERROR((AG8/AF8-1)*100),"-",(AG8/AF8-1)*100)</f>
        <v>-37.225905479442211</v>
      </c>
      <c r="AI8" s="192">
        <f>IF(OR(AND(W8&gt;0,AG8&lt;0),AND(W8&lt;0,AG8&gt;0)),"-",IF(ISERROR(((AG8/W8)^(1/10)-1)*100),"-",((AG8/W8)^(1/10)-1)*100))</f>
        <v>-11.039435971195321</v>
      </c>
      <c r="AJ8" s="114"/>
      <c r="AK8" s="155"/>
    </row>
    <row r="9" spans="1:37" ht="17.100000000000001" customHeight="1">
      <c r="A9" s="1131"/>
      <c r="B9" s="2538"/>
      <c r="C9" s="2538"/>
      <c r="D9" s="2536" t="s">
        <v>936</v>
      </c>
      <c r="E9" s="2536"/>
      <c r="F9" s="1128">
        <f t="shared" ref="F9:R9" si="3">IF(OR(W9="-",W9=""),"-",W9)</f>
        <v>5.7165311961038991</v>
      </c>
      <c r="G9" s="1128">
        <f t="shared" si="3"/>
        <v>2.1575529768229953</v>
      </c>
      <c r="H9" s="1128">
        <f t="shared" si="3"/>
        <v>1.9336614726189887</v>
      </c>
      <c r="I9" s="1128">
        <f t="shared" si="3"/>
        <v>1.1404511993523689</v>
      </c>
      <c r="J9" s="1128">
        <f t="shared" si="3"/>
        <v>1.2736615952194756</v>
      </c>
      <c r="K9" s="1128">
        <f t="shared" si="3"/>
        <v>2.8831182181852468</v>
      </c>
      <c r="L9" s="1128">
        <f t="shared" si="3"/>
        <v>1.4331079706115384</v>
      </c>
      <c r="M9" s="1128">
        <f t="shared" si="3"/>
        <v>1.7850630103265306</v>
      </c>
      <c r="N9" s="1128">
        <f t="shared" si="3"/>
        <v>2.5848622754039687</v>
      </c>
      <c r="O9" s="1128">
        <f t="shared" si="3"/>
        <v>2.6174773919642749</v>
      </c>
      <c r="P9" s="1128">
        <f t="shared" si="3"/>
        <v>1.6154154019269487</v>
      </c>
      <c r="Q9" s="1128" t="str">
        <f t="shared" si="3"/>
        <v>-</v>
      </c>
      <c r="R9" s="1128" t="str">
        <f t="shared" si="3"/>
        <v>-</v>
      </c>
      <c r="S9" s="1131"/>
      <c r="U9" s="169"/>
      <c r="V9" s="196" t="s">
        <v>70</v>
      </c>
      <c r="W9" s="156">
        <f>IF(OR(W8="-",W7="-"),"-",W8/W7*100)</f>
        <v>5.7165311961038991</v>
      </c>
      <c r="X9" s="156">
        <f t="shared" ref="X9:AF9" si="4">IF(OR(X8="-",X7="-"),"-",X8/X7*100)</f>
        <v>2.1575529768229953</v>
      </c>
      <c r="Y9" s="156">
        <f t="shared" si="4"/>
        <v>1.9336614726189887</v>
      </c>
      <c r="Z9" s="156">
        <f t="shared" si="4"/>
        <v>1.1404511993523689</v>
      </c>
      <c r="AA9" s="156">
        <f t="shared" si="4"/>
        <v>1.2736615952194756</v>
      </c>
      <c r="AB9" s="156">
        <f t="shared" si="4"/>
        <v>2.8831182181852468</v>
      </c>
      <c r="AC9" s="156">
        <f t="shared" si="4"/>
        <v>1.4331079706115384</v>
      </c>
      <c r="AD9" s="156">
        <f t="shared" si="4"/>
        <v>1.7850630103265306</v>
      </c>
      <c r="AE9" s="156">
        <f t="shared" si="4"/>
        <v>2.5848622754039687</v>
      </c>
      <c r="AF9" s="156">
        <f t="shared" si="4"/>
        <v>2.6174773919642749</v>
      </c>
      <c r="AG9" s="197">
        <f>IF(OR(AG8="-",AG7="-"),"-",AG8/AG7*100)</f>
        <v>1.6154154019269487</v>
      </c>
      <c r="AH9" s="198" t="s">
        <v>33</v>
      </c>
      <c r="AI9" s="194" t="s">
        <v>8</v>
      </c>
      <c r="AK9" s="155"/>
    </row>
    <row r="10" spans="1:37" ht="17.100000000000001" customHeight="1">
      <c r="A10" s="1131"/>
      <c r="B10" s="2542" t="s">
        <v>933</v>
      </c>
      <c r="C10" s="2542"/>
      <c r="D10" s="2534" t="s">
        <v>934</v>
      </c>
      <c r="E10" s="2534"/>
      <c r="F10" s="1130">
        <f t="shared" ref="F10:P10" si="5">IF(OR(W10="-",W10=""),"-",ROUNDDOWN(W10,-6)/1000000)</f>
        <v>3331</v>
      </c>
      <c r="G10" s="1130">
        <f t="shared" si="5"/>
        <v>3568</v>
      </c>
      <c r="H10" s="1130">
        <f t="shared" si="5"/>
        <v>3960</v>
      </c>
      <c r="I10" s="1130">
        <f t="shared" si="5"/>
        <v>3998</v>
      </c>
      <c r="J10" s="1130">
        <f t="shared" si="5"/>
        <v>4040</v>
      </c>
      <c r="K10" s="1130">
        <f t="shared" si="5"/>
        <v>3699</v>
      </c>
      <c r="L10" s="1130">
        <f t="shared" si="5"/>
        <v>4004</v>
      </c>
      <c r="M10" s="1130">
        <f t="shared" si="5"/>
        <v>4204</v>
      </c>
      <c r="N10" s="1130">
        <f t="shared" si="5"/>
        <v>4566</v>
      </c>
      <c r="O10" s="1130">
        <f t="shared" si="5"/>
        <v>5344</v>
      </c>
      <c r="P10" s="1130">
        <f t="shared" si="5"/>
        <v>5038</v>
      </c>
      <c r="Q10" s="1471">
        <f>AH10</f>
        <v>-5.7213958390389124</v>
      </c>
      <c r="R10" s="1471">
        <f>AI10</f>
        <v>4.2223617265289004</v>
      </c>
      <c r="S10" s="1131"/>
      <c r="U10" s="166" t="s">
        <v>323</v>
      </c>
      <c r="V10" s="188" t="s">
        <v>69</v>
      </c>
      <c r="W10" s="7">
        <v>3331924871</v>
      </c>
      <c r="X10" s="7">
        <v>3568817323</v>
      </c>
      <c r="Y10" s="7">
        <v>3960762483</v>
      </c>
      <c r="Z10" s="7">
        <v>3998164344</v>
      </c>
      <c r="AA10" s="7">
        <v>4040092548</v>
      </c>
      <c r="AB10" s="7">
        <v>3699250033</v>
      </c>
      <c r="AC10" s="7">
        <v>4004289895</v>
      </c>
      <c r="AD10" s="7">
        <v>4204016679</v>
      </c>
      <c r="AE10" s="6">
        <v>4566661444</v>
      </c>
      <c r="AF10" s="199">
        <v>5344304058</v>
      </c>
      <c r="AG10" s="200">
        <v>5038535268</v>
      </c>
      <c r="AH10" s="191">
        <f>IF(ISERROR((AG10/AF10-1)*100),"-",(AG10/AF10-1)*100)</f>
        <v>-5.7213958390389124</v>
      </c>
      <c r="AI10" s="192">
        <f>IF(ISERROR(((AG10/W10)^(1/10)-1)*100),"-",((AG10/W10)^(1/10)-1)*100)</f>
        <v>4.2223617265289004</v>
      </c>
      <c r="AJ10" s="114"/>
      <c r="AK10" s="155"/>
    </row>
    <row r="11" spans="1:37" ht="17.100000000000001" customHeight="1">
      <c r="A11" s="1131"/>
      <c r="B11" s="2537"/>
      <c r="C11" s="2537"/>
      <c r="D11" s="2535" t="s">
        <v>935</v>
      </c>
      <c r="E11" s="2535"/>
      <c r="F11" s="1472">
        <f t="shared" ref="F11:P11" si="6">IF(OR(W11="-",W11=""),"-",ROUNDDOWN(W11,-6)/1000000)</f>
        <v>98</v>
      </c>
      <c r="G11" s="1472">
        <f t="shared" si="6"/>
        <v>77</v>
      </c>
      <c r="H11" s="1472">
        <f t="shared" si="6"/>
        <v>58</v>
      </c>
      <c r="I11" s="1472">
        <f t="shared" si="6"/>
        <v>51</v>
      </c>
      <c r="J11" s="1472">
        <f t="shared" si="6"/>
        <v>38</v>
      </c>
      <c r="K11" s="1472">
        <f t="shared" si="6"/>
        <v>129</v>
      </c>
      <c r="L11" s="1472">
        <f t="shared" si="6"/>
        <v>60</v>
      </c>
      <c r="M11" s="1472">
        <f t="shared" si="6"/>
        <v>19</v>
      </c>
      <c r="N11" s="1472">
        <f t="shared" si="6"/>
        <v>153</v>
      </c>
      <c r="O11" s="1472">
        <f t="shared" si="6"/>
        <v>85</v>
      </c>
      <c r="P11" s="1472">
        <f t="shared" si="6"/>
        <v>260</v>
      </c>
      <c r="Q11" s="1082">
        <f>AH11</f>
        <v>206.06230110022986</v>
      </c>
      <c r="R11" s="1082">
        <f>AI11</f>
        <v>10.179124379873272</v>
      </c>
      <c r="S11" s="1131"/>
      <c r="U11" s="166"/>
      <c r="V11" s="188" t="s">
        <v>144</v>
      </c>
      <c r="W11" s="7">
        <v>98851946</v>
      </c>
      <c r="X11" s="7">
        <v>77047716</v>
      </c>
      <c r="Y11" s="7">
        <v>58477851</v>
      </c>
      <c r="Z11" s="7">
        <v>51547065</v>
      </c>
      <c r="AA11" s="7">
        <v>38981105</v>
      </c>
      <c r="AB11" s="7">
        <v>129112185</v>
      </c>
      <c r="AC11" s="7">
        <v>60418784</v>
      </c>
      <c r="AD11" s="7">
        <v>19569282</v>
      </c>
      <c r="AE11" s="6">
        <v>153927363</v>
      </c>
      <c r="AF11" s="201">
        <v>85146843</v>
      </c>
      <c r="AG11" s="200">
        <v>260602387</v>
      </c>
      <c r="AH11" s="191">
        <f>IF(ISERROR((AG11/AF11-1)*100),"-",(AG11/AF11-1)*100)</f>
        <v>206.06230110022986</v>
      </c>
      <c r="AI11" s="192">
        <f>IF(OR(AND(W11&gt;0,AG11&lt;0),AND(W11&lt;0,AG11&gt;0)),"-",IF(ISERROR(((AG11/W11)^(1/10)-1)*100),"-",((AG11/W11)^(1/10)-1)*100))</f>
        <v>10.179124379873272</v>
      </c>
      <c r="AJ11" s="114"/>
      <c r="AK11" s="155"/>
    </row>
    <row r="12" spans="1:37" ht="17.100000000000001" customHeight="1">
      <c r="A12" s="1131"/>
      <c r="B12" s="2538"/>
      <c r="C12" s="2538"/>
      <c r="D12" s="2536" t="s">
        <v>936</v>
      </c>
      <c r="E12" s="2536"/>
      <c r="F12" s="1128">
        <f t="shared" ref="F12:R12" si="7">IF(OR(W12="-",W12=""),"-",W12)</f>
        <v>2.9668119728741624</v>
      </c>
      <c r="G12" s="1128">
        <f t="shared" si="7"/>
        <v>2.1589145374141081</v>
      </c>
      <c r="H12" s="1128">
        <f t="shared" si="7"/>
        <v>1.4764291282547981</v>
      </c>
      <c r="I12" s="1128">
        <f t="shared" si="7"/>
        <v>1.2892682882672419</v>
      </c>
      <c r="J12" s="1128">
        <f t="shared" si="7"/>
        <v>0.96485673377203029</v>
      </c>
      <c r="K12" s="1128">
        <f t="shared" si="7"/>
        <v>3.4902259606197319</v>
      </c>
      <c r="L12" s="1128">
        <f t="shared" si="7"/>
        <v>1.5088513964846193</v>
      </c>
      <c r="M12" s="1128">
        <f t="shared" si="7"/>
        <v>0.46549011324700307</v>
      </c>
      <c r="N12" s="1128">
        <f t="shared" si="7"/>
        <v>3.3706760373541722</v>
      </c>
      <c r="O12" s="1128">
        <f t="shared" si="7"/>
        <v>1.5932260229943676</v>
      </c>
      <c r="P12" s="1128">
        <f t="shared" si="7"/>
        <v>5.1721854296644372</v>
      </c>
      <c r="Q12" s="1128" t="str">
        <f t="shared" si="7"/>
        <v>-</v>
      </c>
      <c r="R12" s="1128" t="str">
        <f t="shared" si="7"/>
        <v>-</v>
      </c>
      <c r="S12" s="1131"/>
      <c r="U12" s="169"/>
      <c r="V12" s="196" t="s">
        <v>70</v>
      </c>
      <c r="W12" s="156">
        <f>IF(OR(W11="-",W10="-"),"-",W11/W10*100)</f>
        <v>2.9668119728741624</v>
      </c>
      <c r="X12" s="156">
        <f t="shared" ref="X12:AG12" si="8">IF(OR(X11="-",X10="-"),"-",X11/X10*100)</f>
        <v>2.1589145374141081</v>
      </c>
      <c r="Y12" s="156">
        <f t="shared" si="8"/>
        <v>1.4764291282547981</v>
      </c>
      <c r="Z12" s="156">
        <f t="shared" si="8"/>
        <v>1.2892682882672419</v>
      </c>
      <c r="AA12" s="156">
        <f t="shared" si="8"/>
        <v>0.96485673377203029</v>
      </c>
      <c r="AB12" s="156">
        <f t="shared" si="8"/>
        <v>3.4902259606197319</v>
      </c>
      <c r="AC12" s="156">
        <f t="shared" si="8"/>
        <v>1.5088513964846193</v>
      </c>
      <c r="AD12" s="156">
        <f t="shared" si="8"/>
        <v>0.46549011324700307</v>
      </c>
      <c r="AE12" s="156">
        <f t="shared" si="8"/>
        <v>3.3706760373541722</v>
      </c>
      <c r="AF12" s="156">
        <f>IF(OR(AF11="-",AF10="-"),"-",AF11/AF10*100)</f>
        <v>1.5932260229943676</v>
      </c>
      <c r="AG12" s="197">
        <f t="shared" si="8"/>
        <v>5.1721854296644372</v>
      </c>
      <c r="AH12" s="191" t="s">
        <v>8</v>
      </c>
      <c r="AI12" s="193" t="s">
        <v>8</v>
      </c>
      <c r="AK12" s="155"/>
    </row>
    <row r="13" spans="1:37" ht="17.100000000000001" customHeight="1">
      <c r="A13" s="1131"/>
      <c r="B13" s="2537" t="s">
        <v>1553</v>
      </c>
      <c r="C13" s="2537"/>
      <c r="D13" s="2534" t="s">
        <v>934</v>
      </c>
      <c r="E13" s="2534"/>
      <c r="F13" s="1472">
        <f t="shared" ref="F13:P14" si="9">IF(OR(W13="-",W13=""),"-",ROUNDDOWN(W13,-6)/1000000)</f>
        <v>10097</v>
      </c>
      <c r="G13" s="1472">
        <f t="shared" si="9"/>
        <v>9373</v>
      </c>
      <c r="H13" s="1472">
        <f t="shared" si="9"/>
        <v>9827</v>
      </c>
      <c r="I13" s="1472">
        <f t="shared" si="9"/>
        <v>9701</v>
      </c>
      <c r="J13" s="1472">
        <f t="shared" si="9"/>
        <v>9099</v>
      </c>
      <c r="K13" s="1472">
        <f t="shared" si="9"/>
        <v>8646</v>
      </c>
      <c r="L13" s="1472">
        <f t="shared" si="9"/>
        <v>9300</v>
      </c>
      <c r="M13" s="1472">
        <f t="shared" si="9"/>
        <v>10391</v>
      </c>
      <c r="N13" s="1472">
        <f t="shared" si="9"/>
        <v>11431</v>
      </c>
      <c r="O13" s="1472">
        <f t="shared" si="9"/>
        <v>12651</v>
      </c>
      <c r="P13" s="1472">
        <f t="shared" si="9"/>
        <v>12470</v>
      </c>
      <c r="Q13" s="1082">
        <f>AH13</f>
        <v>-1.427119200858451</v>
      </c>
      <c r="R13" s="1082">
        <f>AI13</f>
        <v>2.133564314761105</v>
      </c>
      <c r="S13" s="1131"/>
      <c r="U13" s="202"/>
      <c r="V13" s="203" t="s">
        <v>69</v>
      </c>
      <c r="W13" s="187">
        <v>10097468725</v>
      </c>
      <c r="X13" s="187">
        <v>9373070676</v>
      </c>
      <c r="Y13" s="187">
        <v>9827547161</v>
      </c>
      <c r="Z13" s="187">
        <v>9701150411</v>
      </c>
      <c r="AA13" s="187">
        <v>9099565193</v>
      </c>
      <c r="AB13" s="187">
        <v>8646513593</v>
      </c>
      <c r="AC13" s="187">
        <v>9300761100</v>
      </c>
      <c r="AD13" s="187">
        <v>10391617529</v>
      </c>
      <c r="AE13" s="199">
        <v>11431799896</v>
      </c>
      <c r="AF13" s="204">
        <v>12651439760</v>
      </c>
      <c r="AG13" s="204">
        <v>12470888634</v>
      </c>
      <c r="AH13" s="205">
        <f>IF(ISERROR((AG13/AF13-1)*100),"-",(AG13/AF13-1)*100)</f>
        <v>-1.427119200858451</v>
      </c>
      <c r="AI13" s="206">
        <f>IF(ISERROR(((AG13/W13)^(1/10)-1)*100),"-",((AG13/W13)^(1/10)-1)*100)</f>
        <v>2.133564314761105</v>
      </c>
      <c r="AJ13" s="114"/>
    </row>
    <row r="14" spans="1:37" ht="17.100000000000001" customHeight="1">
      <c r="A14" s="1131"/>
      <c r="B14" s="2537"/>
      <c r="C14" s="2537"/>
      <c r="D14" s="2535" t="s">
        <v>935</v>
      </c>
      <c r="E14" s="2535"/>
      <c r="F14" s="1472">
        <f t="shared" si="9"/>
        <v>485</v>
      </c>
      <c r="G14" s="1472">
        <f t="shared" si="9"/>
        <v>202</v>
      </c>
      <c r="H14" s="1472">
        <f t="shared" si="9"/>
        <v>171</v>
      </c>
      <c r="I14" s="1472">
        <f t="shared" si="9"/>
        <v>116</v>
      </c>
      <c r="J14" s="1472">
        <f t="shared" si="9"/>
        <v>103</v>
      </c>
      <c r="K14" s="1472">
        <f t="shared" si="9"/>
        <v>271</v>
      </c>
      <c r="L14" s="1472">
        <f t="shared" si="9"/>
        <v>136</v>
      </c>
      <c r="M14" s="1472">
        <f t="shared" si="9"/>
        <v>130</v>
      </c>
      <c r="N14" s="1472">
        <f t="shared" si="9"/>
        <v>331</v>
      </c>
      <c r="O14" s="1472">
        <f t="shared" si="9"/>
        <v>276</v>
      </c>
      <c r="P14" s="1472">
        <f t="shared" si="9"/>
        <v>380</v>
      </c>
      <c r="Q14" s="1082">
        <f>AH14</f>
        <v>37.718063984696791</v>
      </c>
      <c r="R14" s="1082">
        <f>AI14</f>
        <v>-2.4053648566766506</v>
      </c>
      <c r="S14" s="1131"/>
      <c r="U14" s="166"/>
      <c r="V14" s="188" t="s">
        <v>144</v>
      </c>
      <c r="W14" s="7">
        <v>485606371</v>
      </c>
      <c r="X14" s="7">
        <v>202277557</v>
      </c>
      <c r="Y14" s="7">
        <v>171921606</v>
      </c>
      <c r="Z14" s="7">
        <v>116586838</v>
      </c>
      <c r="AA14" s="7">
        <v>103421665</v>
      </c>
      <c r="AB14" s="7">
        <v>271747642</v>
      </c>
      <c r="AC14" s="7">
        <v>136322935</v>
      </c>
      <c r="AD14" s="7">
        <v>130021856</v>
      </c>
      <c r="AE14" s="201">
        <v>331381737</v>
      </c>
      <c r="AF14" s="200">
        <v>276409468</v>
      </c>
      <c r="AG14" s="200">
        <v>380665768</v>
      </c>
      <c r="AH14" s="191">
        <f>IF(ISERROR((AG14/AF14-1)*100),"-",(AG14/AF14-1)*100)</f>
        <v>37.718063984696791</v>
      </c>
      <c r="AI14" s="192">
        <f>IF(OR(AND(W14&gt;0,AG14&lt;0),AND(W14&lt;0,AG14&gt;0)),"-",IF(ISERROR(((AG14/W14)^(1/10)-1)*100),"-",((AG14/W14)^(1/10)-1)*100))</f>
        <v>-2.4053648566766506</v>
      </c>
      <c r="AJ14" s="114"/>
    </row>
    <row r="15" spans="1:37" ht="17.100000000000001" customHeight="1" thickBot="1">
      <c r="A15" s="1131"/>
      <c r="B15" s="2538"/>
      <c r="C15" s="2538"/>
      <c r="D15" s="2536" t="s">
        <v>936</v>
      </c>
      <c r="E15" s="2536"/>
      <c r="F15" s="1128">
        <f>IF(OR(W15="-",W15=""),"-",W15)</f>
        <v>4.8091891564635674</v>
      </c>
      <c r="G15" s="1128">
        <f>IF(OR(X15="-",X15=""),"-",X15)</f>
        <v>2.1580713940196472</v>
      </c>
      <c r="H15" s="1128">
        <f>IF(OR(Y15="-",Y15=""),"-",Y15)</f>
        <v>1.7493846957281469</v>
      </c>
      <c r="I15" s="1128">
        <f t="shared" ref="I15:P15" si="10">IF(OR(Z15="-",Z15=""),"-",Z15)</f>
        <v>1.2017836345244559</v>
      </c>
      <c r="J15" s="1128">
        <f t="shared" si="10"/>
        <v>1.1365561189622437</v>
      </c>
      <c r="K15" s="1128">
        <f t="shared" si="10"/>
        <v>3.1428579748027006</v>
      </c>
      <c r="L15" s="1128">
        <f t="shared" si="10"/>
        <v>1.4657180582780478</v>
      </c>
      <c r="M15" s="1128">
        <f t="shared" si="10"/>
        <v>1.2512186446156874</v>
      </c>
      <c r="N15" s="1128">
        <f t="shared" si="10"/>
        <v>2.8987713222302891</v>
      </c>
      <c r="O15" s="1128">
        <f t="shared" si="10"/>
        <v>2.1848064192181713</v>
      </c>
      <c r="P15" s="1128">
        <f t="shared" si="10"/>
        <v>3.052434988170547</v>
      </c>
      <c r="Q15" s="1128" t="str">
        <f>IF(OR(AH15="-",AH15=""),"-",AH15)</f>
        <v>-</v>
      </c>
      <c r="R15" s="1128" t="str">
        <f>IF(OR(AI15="-",AI15=""),"-",AI15)</f>
        <v>-</v>
      </c>
      <c r="S15" s="1131"/>
      <c r="U15" s="169" t="s">
        <v>34</v>
      </c>
      <c r="V15" s="196" t="s">
        <v>70</v>
      </c>
      <c r="W15" s="156">
        <f>IF(OR(W14="-",W13="-"),"-",W14/W13*100)</f>
        <v>4.8091891564635674</v>
      </c>
      <c r="X15" s="156">
        <f t="shared" ref="X15:AG15" si="11">IF(OR(X14="-",X13="-"),"-",X14/X13*100)</f>
        <v>2.1580713940196472</v>
      </c>
      <c r="Y15" s="156">
        <f t="shared" si="11"/>
        <v>1.7493846957281469</v>
      </c>
      <c r="Z15" s="156">
        <f t="shared" si="11"/>
        <v>1.2017836345244559</v>
      </c>
      <c r="AA15" s="156">
        <f t="shared" si="11"/>
        <v>1.1365561189622437</v>
      </c>
      <c r="AB15" s="156">
        <f t="shared" si="11"/>
        <v>3.1428579748027006</v>
      </c>
      <c r="AC15" s="156">
        <f t="shared" si="11"/>
        <v>1.4657180582780478</v>
      </c>
      <c r="AD15" s="156">
        <f t="shared" si="11"/>
        <v>1.2512186446156874</v>
      </c>
      <c r="AE15" s="156">
        <f t="shared" si="11"/>
        <v>2.8987713222302891</v>
      </c>
      <c r="AF15" s="195">
        <f t="shared" si="11"/>
        <v>2.1848064192181713</v>
      </c>
      <c r="AG15" s="208">
        <f t="shared" si="11"/>
        <v>3.052434988170547</v>
      </c>
      <c r="AH15" s="209" t="s">
        <v>8</v>
      </c>
      <c r="AI15" s="207" t="s">
        <v>68</v>
      </c>
    </row>
    <row r="16" spans="1:37" ht="13.5" customHeight="1">
      <c r="A16" s="1131"/>
      <c r="B16" s="1131"/>
      <c r="C16" s="1474"/>
      <c r="D16" s="1272"/>
      <c r="E16" s="1272"/>
      <c r="F16" s="1475"/>
      <c r="G16" s="1475"/>
      <c r="H16" s="1475"/>
      <c r="I16" s="1475"/>
      <c r="J16" s="1475"/>
      <c r="K16" s="1475"/>
      <c r="L16" s="1475"/>
      <c r="M16" s="1475"/>
      <c r="N16" s="1475"/>
      <c r="O16" s="1475"/>
      <c r="P16" s="1475"/>
      <c r="Q16" s="1475"/>
      <c r="R16" s="1475"/>
      <c r="S16" s="1131"/>
      <c r="U16" s="210"/>
      <c r="V16" s="188"/>
      <c r="W16" s="170"/>
      <c r="X16" s="170"/>
      <c r="Y16" s="170"/>
      <c r="Z16" s="170"/>
      <c r="AA16" s="170"/>
      <c r="AB16" s="170"/>
      <c r="AC16" s="170"/>
      <c r="AD16" s="170"/>
      <c r="AE16" s="170"/>
      <c r="AF16" s="170"/>
      <c r="AG16" s="170"/>
      <c r="AH16" s="170"/>
      <c r="AI16" s="170"/>
    </row>
    <row r="17" spans="1:37" ht="12.75" customHeight="1">
      <c r="A17" s="1131"/>
      <c r="B17" s="1131"/>
      <c r="C17" s="1474"/>
      <c r="D17" s="1272"/>
      <c r="E17" s="1272"/>
      <c r="F17" s="1475"/>
      <c r="G17" s="1475"/>
      <c r="H17" s="1475"/>
      <c r="I17" s="1475"/>
      <c r="J17" s="1475"/>
      <c r="K17" s="1475"/>
      <c r="L17" s="1475"/>
      <c r="M17" s="1475"/>
      <c r="N17" s="1475"/>
      <c r="O17" s="1475"/>
      <c r="P17" s="1475"/>
      <c r="Q17" s="1475"/>
      <c r="R17" s="1475"/>
      <c r="S17" s="1131"/>
      <c r="U17" s="210"/>
      <c r="V17" s="188"/>
      <c r="W17" s="170"/>
      <c r="X17" s="170"/>
      <c r="Y17" s="170"/>
      <c r="Z17" s="170"/>
      <c r="AA17" s="170"/>
      <c r="AB17" s="170"/>
      <c r="AC17" s="170"/>
      <c r="AD17" s="170"/>
      <c r="AE17" s="170"/>
      <c r="AF17" s="170"/>
      <c r="AG17" s="170"/>
      <c r="AH17" s="170"/>
      <c r="AI17" s="170"/>
    </row>
    <row r="18" spans="1:37" ht="10.5" customHeight="1">
      <c r="A18" s="1131"/>
      <c r="B18" s="1132"/>
      <c r="C18" s="1132"/>
      <c r="D18" s="1132"/>
      <c r="E18" s="1132"/>
      <c r="F18" s="1163"/>
      <c r="G18" s="1163"/>
      <c r="H18" s="1163"/>
      <c r="I18" s="1163"/>
      <c r="J18" s="1163"/>
      <c r="K18" s="1163"/>
      <c r="L18" s="1163"/>
      <c r="M18" s="1163"/>
      <c r="N18" s="1163"/>
      <c r="O18" s="1163"/>
      <c r="P18" s="1163"/>
      <c r="Q18" s="1163"/>
      <c r="R18" s="1163"/>
      <c r="S18" s="1131"/>
      <c r="U18" s="158"/>
      <c r="V18" s="158"/>
      <c r="W18" s="159"/>
      <c r="X18" s="159"/>
      <c r="Y18" s="159"/>
      <c r="Z18" s="159"/>
      <c r="AA18" s="159"/>
      <c r="AB18" s="159"/>
      <c r="AC18" s="159"/>
      <c r="AD18" s="159"/>
      <c r="AE18" s="159"/>
      <c r="AF18" s="159"/>
      <c r="AG18" s="159"/>
      <c r="AH18" s="159"/>
      <c r="AI18" s="159"/>
    </row>
    <row r="19" spans="1:37" ht="16.5" customHeight="1" thickBot="1">
      <c r="A19" s="1131"/>
      <c r="B19" s="1132"/>
      <c r="C19" s="1132"/>
      <c r="D19" s="1132"/>
      <c r="E19" s="1132"/>
      <c r="F19" s="1163"/>
      <c r="G19" s="1163"/>
      <c r="H19" s="1163"/>
      <c r="I19" s="1163"/>
      <c r="J19" s="1163"/>
      <c r="K19" s="1163"/>
      <c r="L19" s="1163"/>
      <c r="M19" s="1163"/>
      <c r="N19" s="1163"/>
      <c r="O19" s="1163"/>
      <c r="P19" s="1163"/>
      <c r="Q19" s="1163"/>
      <c r="R19" s="1163"/>
      <c r="S19" s="1131"/>
      <c r="U19" s="144" t="s">
        <v>243</v>
      </c>
    </row>
    <row r="20" spans="1:37" s="148" customFormat="1" ht="16.5" customHeight="1">
      <c r="A20" s="1132"/>
      <c r="B20" s="1132"/>
      <c r="C20" s="1132"/>
      <c r="D20" s="1132"/>
      <c r="E20" s="1132"/>
      <c r="F20" s="1163"/>
      <c r="G20" s="1163"/>
      <c r="H20" s="1163"/>
      <c r="I20" s="1163"/>
      <c r="J20" s="1163"/>
      <c r="K20" s="1163"/>
      <c r="L20" s="1163"/>
      <c r="M20" s="1163"/>
      <c r="N20" s="1163"/>
      <c r="O20" s="1163"/>
      <c r="P20" s="1163"/>
      <c r="Q20" s="1163"/>
      <c r="R20" s="1163"/>
      <c r="S20" s="1132"/>
      <c r="T20" s="149"/>
      <c r="U20" s="2543"/>
      <c r="V20" s="2543"/>
      <c r="W20" s="2547" t="str">
        <f>W5</f>
        <v>2016.3</v>
      </c>
      <c r="X20" s="2547" t="str">
        <f t="shared" ref="X20:AG20" si="12">X5</f>
        <v>2017.3</v>
      </c>
      <c r="Y20" s="2547" t="str">
        <f t="shared" si="12"/>
        <v>2018.3</v>
      </c>
      <c r="Z20" s="2547" t="str">
        <f t="shared" si="12"/>
        <v>2019.3</v>
      </c>
      <c r="AA20" s="2547" t="str">
        <f t="shared" si="12"/>
        <v>2020.3</v>
      </c>
      <c r="AB20" s="2547" t="str">
        <f t="shared" si="12"/>
        <v>2021.3</v>
      </c>
      <c r="AC20" s="2547" t="str">
        <f t="shared" si="12"/>
        <v>2022.3</v>
      </c>
      <c r="AD20" s="2547" t="str">
        <f t="shared" si="12"/>
        <v>2023.3</v>
      </c>
      <c r="AE20" s="2547" t="str">
        <f t="shared" si="12"/>
        <v>2024.3</v>
      </c>
      <c r="AF20" s="2549" t="str">
        <f t="shared" si="12"/>
        <v>2025.3</v>
      </c>
      <c r="AG20" s="2545" t="str">
        <f t="shared" si="12"/>
        <v>2026.3</v>
      </c>
      <c r="AH20" s="211" t="s">
        <v>155</v>
      </c>
      <c r="AI20" s="212" t="str">
        <f>AI5</f>
        <v>過去10年
平均増減率</v>
      </c>
      <c r="AJ20" s="144"/>
      <c r="AK20" s="144"/>
    </row>
    <row r="21" spans="1:37" ht="16.5" customHeight="1" thickBot="1">
      <c r="A21" s="1131"/>
      <c r="B21" s="1132"/>
      <c r="C21" s="1132"/>
      <c r="D21" s="1132"/>
      <c r="E21" s="1132"/>
      <c r="F21" s="1163"/>
      <c r="G21" s="1163"/>
      <c r="H21" s="1163"/>
      <c r="I21" s="1163"/>
      <c r="J21" s="1163"/>
      <c r="K21" s="1163"/>
      <c r="L21" s="1163"/>
      <c r="M21" s="1163"/>
      <c r="N21" s="1163"/>
      <c r="O21" s="1163"/>
      <c r="P21" s="1163"/>
      <c r="Q21" s="1163"/>
      <c r="R21" s="1163"/>
      <c r="S21" s="1137"/>
      <c r="T21" s="147"/>
      <c r="U21" s="2544"/>
      <c r="V21" s="2544"/>
      <c r="W21" s="2548"/>
      <c r="X21" s="2548"/>
      <c r="Y21" s="2548"/>
      <c r="Z21" s="2548"/>
      <c r="AA21" s="2548"/>
      <c r="AB21" s="2548"/>
      <c r="AC21" s="2548"/>
      <c r="AD21" s="2548"/>
      <c r="AE21" s="2548"/>
      <c r="AF21" s="2550"/>
      <c r="AG21" s="2546"/>
      <c r="AH21" s="213"/>
      <c r="AI21" s="214"/>
    </row>
    <row r="22" spans="1:37" ht="16.5" customHeight="1" thickTop="1">
      <c r="A22" s="1131"/>
      <c r="B22" s="1132"/>
      <c r="C22" s="1132"/>
      <c r="D22" s="1132"/>
      <c r="E22" s="1132"/>
      <c r="F22" s="1163"/>
      <c r="G22" s="1163"/>
      <c r="H22" s="1163"/>
      <c r="I22" s="1163"/>
      <c r="J22" s="1163"/>
      <c r="K22" s="1163"/>
      <c r="L22" s="1163"/>
      <c r="M22" s="1163"/>
      <c r="N22" s="1163"/>
      <c r="O22" s="1163"/>
      <c r="P22" s="1163"/>
      <c r="Q22" s="1163"/>
      <c r="R22" s="1163"/>
      <c r="S22" s="1173"/>
      <c r="T22" s="76"/>
      <c r="U22" s="166" t="s">
        <v>26</v>
      </c>
      <c r="V22" s="188" t="s">
        <v>69</v>
      </c>
      <c r="W22" s="163">
        <f>IF(W7="-","-",ROUNDDOWN(W7,-6))</f>
        <v>6765000000</v>
      </c>
      <c r="X22" s="163">
        <f>IF(X7="-","-",ROUNDDOWN(X7,-6))</f>
        <v>5804000000</v>
      </c>
      <c r="Y22" s="163">
        <f>IF(Y7="-","-",ROUNDDOWN(Y7,-6))</f>
        <v>5866000000</v>
      </c>
      <c r="Z22" s="164">
        <f>IF(Z7="-","-",ROUNDDOWN(Z7,-6))</f>
        <v>5702000000</v>
      </c>
      <c r="AA22" s="164">
        <f t="shared" ref="AA22:AG22" si="13">IF(AA7="-","-",ROUNDDOWN(AA7,-6))</f>
        <v>5059000000</v>
      </c>
      <c r="AB22" s="164">
        <f t="shared" si="13"/>
        <v>4947000000</v>
      </c>
      <c r="AC22" s="164">
        <f t="shared" si="13"/>
        <v>5296000000</v>
      </c>
      <c r="AD22" s="164">
        <f t="shared" si="13"/>
        <v>6187000000</v>
      </c>
      <c r="AE22" s="164">
        <f t="shared" si="13"/>
        <v>6865000000</v>
      </c>
      <c r="AF22" s="164">
        <f t="shared" si="13"/>
        <v>7307000000</v>
      </c>
      <c r="AG22" s="215">
        <f t="shared" si="13"/>
        <v>7432000000</v>
      </c>
      <c r="AH22" s="191">
        <f>IF(ISERROR((AG22/AF22-1)*100),"-",(AG22/AF22-1)*100)</f>
        <v>1.7106883810045215</v>
      </c>
      <c r="AI22" s="192">
        <f>IF(ISERROR(((AG22/W22)^(1/10)-1)*100),"-",((AG22/W22)^(1/10)-1)*100)</f>
        <v>0.94476236714746697</v>
      </c>
    </row>
    <row r="23" spans="1:37" ht="16.5" customHeight="1">
      <c r="A23" s="1131"/>
      <c r="B23" s="1132"/>
      <c r="C23" s="1132"/>
      <c r="D23" s="1132"/>
      <c r="E23" s="1132"/>
      <c r="F23" s="1163"/>
      <c r="G23" s="1163"/>
      <c r="H23" s="1163"/>
      <c r="I23" s="1163"/>
      <c r="J23" s="1163"/>
      <c r="K23" s="1163"/>
      <c r="L23" s="1163"/>
      <c r="M23" s="1163"/>
      <c r="N23" s="1163"/>
      <c r="O23" s="1163"/>
      <c r="P23" s="1163"/>
      <c r="Q23" s="1163"/>
      <c r="R23" s="1163"/>
      <c r="S23" s="1173"/>
      <c r="T23" s="76"/>
      <c r="U23" s="166"/>
      <c r="V23" s="188" t="s">
        <v>144</v>
      </c>
      <c r="W23" s="163">
        <f t="shared" ref="W23:AG23" si="14">IF(W8="-","-",ROUNDDOWN(W8,-6))</f>
        <v>386000000</v>
      </c>
      <c r="X23" s="163">
        <f t="shared" si="14"/>
        <v>125000000</v>
      </c>
      <c r="Y23" s="163">
        <f t="shared" si="14"/>
        <v>113000000</v>
      </c>
      <c r="Z23" s="164">
        <f t="shared" si="14"/>
        <v>65000000</v>
      </c>
      <c r="AA23" s="164">
        <f t="shared" si="14"/>
        <v>64000000</v>
      </c>
      <c r="AB23" s="164">
        <f t="shared" si="14"/>
        <v>142000000</v>
      </c>
      <c r="AC23" s="164">
        <f t="shared" si="14"/>
        <v>75000000</v>
      </c>
      <c r="AD23" s="164">
        <f t="shared" si="14"/>
        <v>110000000</v>
      </c>
      <c r="AE23" s="164">
        <f t="shared" si="14"/>
        <v>177000000</v>
      </c>
      <c r="AF23" s="164">
        <f t="shared" si="14"/>
        <v>191000000</v>
      </c>
      <c r="AG23" s="215">
        <f t="shared" si="14"/>
        <v>120000000</v>
      </c>
      <c r="AH23" s="191">
        <f>IF(ISERROR((AG23/AF23-1)*100),"-",(AG23/AF23-1)*100)</f>
        <v>-37.172774869109951</v>
      </c>
      <c r="AI23" s="192">
        <f>IF(ISERROR(((AG23/W23)^(1/10)-1)*100),"-",IF(Z23&lt;0,"-",((AG23/W23)^(1/10)-1)*100))</f>
        <v>-11.026762406146561</v>
      </c>
    </row>
    <row r="24" spans="1:37" ht="16.5" customHeight="1">
      <c r="A24" s="1131"/>
      <c r="B24" s="1132"/>
      <c r="C24" s="1132"/>
      <c r="D24" s="1132"/>
      <c r="E24" s="1132"/>
      <c r="F24" s="1163"/>
      <c r="G24" s="1163"/>
      <c r="H24" s="1163"/>
      <c r="I24" s="1163"/>
      <c r="J24" s="1163"/>
      <c r="K24" s="1163"/>
      <c r="L24" s="1163"/>
      <c r="M24" s="1163"/>
      <c r="N24" s="1163"/>
      <c r="O24" s="1163"/>
      <c r="P24" s="1163"/>
      <c r="Q24" s="1163"/>
      <c r="R24" s="1163"/>
      <c r="S24" s="1131"/>
      <c r="U24" s="169"/>
      <c r="V24" s="196" t="s">
        <v>70</v>
      </c>
      <c r="W24" s="156">
        <f t="shared" ref="W24:AG24" si="15">IF(OR(W23="-",W22="-"),"-",W23/W22*100)</f>
        <v>5.7058388765705841</v>
      </c>
      <c r="X24" s="156">
        <f t="shared" si="15"/>
        <v>2.1536871123363199</v>
      </c>
      <c r="Y24" s="156">
        <f t="shared" si="15"/>
        <v>1.9263552676440505</v>
      </c>
      <c r="Z24" s="156">
        <f t="shared" si="15"/>
        <v>1.1399508944230095</v>
      </c>
      <c r="AA24" s="156">
        <f t="shared" si="15"/>
        <v>1.2650721486459775</v>
      </c>
      <c r="AB24" s="156">
        <f t="shared" si="15"/>
        <v>2.8704265211239135</v>
      </c>
      <c r="AC24" s="156">
        <f t="shared" si="15"/>
        <v>1.4161631419939578</v>
      </c>
      <c r="AD24" s="156">
        <f t="shared" si="15"/>
        <v>1.777921448197834</v>
      </c>
      <c r="AE24" s="156">
        <f t="shared" si="15"/>
        <v>2.5782957028404954</v>
      </c>
      <c r="AF24" s="156">
        <f t="shared" si="15"/>
        <v>2.6139318461749008</v>
      </c>
      <c r="AG24" s="197">
        <f t="shared" si="15"/>
        <v>1.6146393972012916</v>
      </c>
      <c r="AH24" s="198" t="s">
        <v>8</v>
      </c>
      <c r="AI24" s="216" t="s">
        <v>177</v>
      </c>
    </row>
    <row r="25" spans="1:37" ht="16.5" customHeight="1">
      <c r="A25" s="1131"/>
      <c r="B25" s="1132"/>
      <c r="C25" s="1132"/>
      <c r="D25" s="1132"/>
      <c r="E25" s="1132"/>
      <c r="F25" s="1163"/>
      <c r="G25" s="1163"/>
      <c r="H25" s="1163"/>
      <c r="I25" s="1163"/>
      <c r="J25" s="1163"/>
      <c r="K25" s="1163"/>
      <c r="L25" s="1163"/>
      <c r="M25" s="1163"/>
      <c r="N25" s="1163"/>
      <c r="O25" s="1163"/>
      <c r="P25" s="1163"/>
      <c r="Q25" s="1163"/>
      <c r="R25" s="1163"/>
      <c r="S25" s="1131"/>
      <c r="U25" s="166" t="s">
        <v>27</v>
      </c>
      <c r="V25" s="188" t="s">
        <v>69</v>
      </c>
      <c r="W25" s="163">
        <f t="shared" ref="W25:AG25" si="16">IF(W10="-","-",ROUNDDOWN(W10,-6))</f>
        <v>3331000000</v>
      </c>
      <c r="X25" s="163">
        <f t="shared" si="16"/>
        <v>3568000000</v>
      </c>
      <c r="Y25" s="163">
        <f t="shared" si="16"/>
        <v>3960000000</v>
      </c>
      <c r="Z25" s="164">
        <f t="shared" si="16"/>
        <v>3998000000</v>
      </c>
      <c r="AA25" s="164">
        <f t="shared" si="16"/>
        <v>4040000000</v>
      </c>
      <c r="AB25" s="164">
        <f t="shared" si="16"/>
        <v>3699000000</v>
      </c>
      <c r="AC25" s="164">
        <f t="shared" si="16"/>
        <v>4004000000</v>
      </c>
      <c r="AD25" s="164">
        <f t="shared" si="16"/>
        <v>4204000000</v>
      </c>
      <c r="AE25" s="164">
        <f t="shared" si="16"/>
        <v>4566000000</v>
      </c>
      <c r="AF25" s="164">
        <f t="shared" si="16"/>
        <v>5344000000</v>
      </c>
      <c r="AG25" s="215">
        <f t="shared" si="16"/>
        <v>5038000000</v>
      </c>
      <c r="AH25" s="191">
        <f>IF(ISERROR((AG25/AF25-1)*100),"-",(AG25/AF25-1)*100)</f>
        <v>-5.7260479041916117</v>
      </c>
      <c r="AI25" s="192">
        <f>IF(ISERROR(((AG25/W25)^(1/10)-1)*100),"-",((AG25/W25)^(1/10)-1)*100)</f>
        <v>4.2241478695887347</v>
      </c>
    </row>
    <row r="26" spans="1:37" ht="42.75" customHeight="1">
      <c r="A26" s="1131"/>
      <c r="B26" s="1132"/>
      <c r="C26" s="1132"/>
      <c r="D26" s="1132"/>
      <c r="E26" s="1132"/>
      <c r="F26" s="1163"/>
      <c r="G26" s="1163"/>
      <c r="H26" s="1163"/>
      <c r="I26" s="1163"/>
      <c r="J26" s="1163"/>
      <c r="K26" s="1163"/>
      <c r="L26" s="1163"/>
      <c r="M26" s="1163"/>
      <c r="N26" s="1163"/>
      <c r="O26" s="1163"/>
      <c r="P26" s="1163"/>
      <c r="Q26" s="1163"/>
      <c r="R26" s="1163"/>
      <c r="S26" s="1131"/>
      <c r="U26" s="166"/>
      <c r="V26" s="188" t="s">
        <v>144</v>
      </c>
      <c r="W26" s="163">
        <f t="shared" ref="W26:AG26" si="17">IF(W11="-","-",ROUNDDOWN(W11,-6))</f>
        <v>98000000</v>
      </c>
      <c r="X26" s="163">
        <f t="shared" si="17"/>
        <v>77000000</v>
      </c>
      <c r="Y26" s="163">
        <f t="shared" si="17"/>
        <v>58000000</v>
      </c>
      <c r="Z26" s="164">
        <f t="shared" si="17"/>
        <v>51000000</v>
      </c>
      <c r="AA26" s="164">
        <f t="shared" si="17"/>
        <v>38000000</v>
      </c>
      <c r="AB26" s="164">
        <f t="shared" si="17"/>
        <v>129000000</v>
      </c>
      <c r="AC26" s="164">
        <f t="shared" si="17"/>
        <v>60000000</v>
      </c>
      <c r="AD26" s="164">
        <f t="shared" si="17"/>
        <v>19000000</v>
      </c>
      <c r="AE26" s="164">
        <f t="shared" si="17"/>
        <v>153000000</v>
      </c>
      <c r="AF26" s="217">
        <f t="shared" si="17"/>
        <v>85000000</v>
      </c>
      <c r="AG26" s="215">
        <f t="shared" si="17"/>
        <v>260000000</v>
      </c>
      <c r="AH26" s="191">
        <f>IF(ISERROR((AG26/AF26-1)*100),"-",(AG26/AF26-1)*100)</f>
        <v>205.88235294117646</v>
      </c>
      <c r="AI26" s="192">
        <f>IF(ISERROR(((AG26/W26)^(1/10)-1)*100),"-",((AG26/W26)^(1/10)-1)*100)</f>
        <v>10.249017334622689</v>
      </c>
    </row>
    <row r="27" spans="1:37" ht="26.25" customHeight="1">
      <c r="A27" s="1131"/>
      <c r="B27" s="1132"/>
      <c r="C27" s="1132"/>
      <c r="D27" s="1132"/>
      <c r="E27" s="1132"/>
      <c r="F27" s="1163"/>
      <c r="G27" s="1163"/>
      <c r="H27" s="1163"/>
      <c r="I27" s="1163"/>
      <c r="J27" s="1163"/>
      <c r="K27" s="1163"/>
      <c r="L27" s="1163"/>
      <c r="M27" s="1163"/>
      <c r="N27" s="1163"/>
      <c r="O27" s="1163"/>
      <c r="P27" s="1163"/>
      <c r="Q27" s="1163"/>
      <c r="R27" s="1163"/>
      <c r="S27" s="1131"/>
      <c r="U27" s="169"/>
      <c r="V27" s="196" t="s">
        <v>70</v>
      </c>
      <c r="W27" s="156">
        <f t="shared" ref="W27:AG27" si="18">IF(OR(W26="-",W25="-"),"-",W26/W25*100)</f>
        <v>2.9420594416091261</v>
      </c>
      <c r="X27" s="156">
        <f t="shared" si="18"/>
        <v>2.1580717488789238</v>
      </c>
      <c r="Y27" s="156">
        <f t="shared" si="18"/>
        <v>1.4646464646464648</v>
      </c>
      <c r="Z27" s="156">
        <f t="shared" si="18"/>
        <v>1.2756378189094548</v>
      </c>
      <c r="AA27" s="156">
        <f t="shared" si="18"/>
        <v>0.94059405940594054</v>
      </c>
      <c r="AB27" s="156">
        <f t="shared" si="18"/>
        <v>3.4874290348742907</v>
      </c>
      <c r="AC27" s="156">
        <f t="shared" si="18"/>
        <v>1.4985014985014986</v>
      </c>
      <c r="AD27" s="156">
        <f t="shared" si="18"/>
        <v>0.45195052331113228</v>
      </c>
      <c r="AE27" s="156">
        <f t="shared" si="18"/>
        <v>3.3508541392904072</v>
      </c>
      <c r="AF27" s="156">
        <f t="shared" si="18"/>
        <v>1.5905688622754492</v>
      </c>
      <c r="AG27" s="197">
        <f t="shared" si="18"/>
        <v>5.1607780865422788</v>
      </c>
      <c r="AH27" s="191" t="s">
        <v>8</v>
      </c>
      <c r="AI27" s="192" t="s">
        <v>177</v>
      </c>
    </row>
    <row r="28" spans="1:37" ht="16.5" customHeight="1">
      <c r="A28" s="1131"/>
      <c r="B28" s="1342"/>
      <c r="C28" s="1342"/>
      <c r="D28" s="1342"/>
      <c r="E28" s="1342"/>
      <c r="F28" s="1342"/>
      <c r="G28" s="1342"/>
      <c r="H28" s="1163"/>
      <c r="I28" s="1163"/>
      <c r="J28" s="1163"/>
      <c r="K28" s="1163"/>
      <c r="L28" s="1163"/>
      <c r="M28" s="1163"/>
      <c r="N28" s="1163"/>
      <c r="O28" s="1163"/>
      <c r="P28" s="1163"/>
      <c r="Q28" s="1476"/>
      <c r="R28" s="2074" t="s">
        <v>1678</v>
      </c>
      <c r="S28" s="1131"/>
      <c r="U28" s="202"/>
      <c r="V28" s="203" t="s">
        <v>69</v>
      </c>
      <c r="W28" s="161">
        <f t="shared" ref="W28:AG28" si="19">IF(W13="-","-",ROUNDDOWN(W13,-6))</f>
        <v>10097000000</v>
      </c>
      <c r="X28" s="161">
        <f t="shared" si="19"/>
        <v>9373000000</v>
      </c>
      <c r="Y28" s="161">
        <f t="shared" si="19"/>
        <v>9827000000</v>
      </c>
      <c r="Z28" s="162">
        <f t="shared" si="19"/>
        <v>9701000000</v>
      </c>
      <c r="AA28" s="162">
        <f t="shared" si="19"/>
        <v>9099000000</v>
      </c>
      <c r="AB28" s="162">
        <f t="shared" si="19"/>
        <v>8646000000</v>
      </c>
      <c r="AC28" s="162">
        <f t="shared" si="19"/>
        <v>9300000000</v>
      </c>
      <c r="AD28" s="162">
        <f t="shared" si="19"/>
        <v>10391000000</v>
      </c>
      <c r="AE28" s="162">
        <f t="shared" si="19"/>
        <v>11431000000</v>
      </c>
      <c r="AF28" s="218">
        <f t="shared" si="19"/>
        <v>12651000000</v>
      </c>
      <c r="AG28" s="219">
        <f t="shared" si="19"/>
        <v>12470000000</v>
      </c>
      <c r="AH28" s="205">
        <f>IF(ISERROR((AG28/AF28-1)*100),"-",(AG28/AF28-1)*100)</f>
        <v>-1.4307169393723784</v>
      </c>
      <c r="AI28" s="206">
        <f>IF(ISERROR(((AG28/W28)^(1/10)-1)*100),"-",((AG28/W28)^(1/10)-1)*100)</f>
        <v>2.1333106348909947</v>
      </c>
    </row>
    <row r="29" spans="1:37" ht="24" customHeight="1">
      <c r="A29" s="1131"/>
      <c r="B29" s="2273"/>
      <c r="C29" s="2273"/>
      <c r="D29" s="2273"/>
      <c r="E29" s="2273"/>
      <c r="F29" s="2453" t="str">
        <f>W33</f>
        <v>2016.3</v>
      </c>
      <c r="G29" s="2206" t="str">
        <f t="shared" ref="G29:P29" si="20">X33</f>
        <v>2017.3</v>
      </c>
      <c r="H29" s="2206" t="str">
        <f t="shared" si="20"/>
        <v>2018.3</v>
      </c>
      <c r="I29" s="2206" t="str">
        <f t="shared" si="20"/>
        <v>2019.3</v>
      </c>
      <c r="J29" s="2206" t="str">
        <f t="shared" si="20"/>
        <v>2020.3</v>
      </c>
      <c r="K29" s="2206" t="str">
        <f t="shared" si="20"/>
        <v>2021.3</v>
      </c>
      <c r="L29" s="2206" t="str">
        <f t="shared" si="20"/>
        <v>2022.3</v>
      </c>
      <c r="M29" s="2206" t="str">
        <f t="shared" si="20"/>
        <v>2023.3</v>
      </c>
      <c r="N29" s="2206" t="str">
        <f t="shared" si="20"/>
        <v>2024.3</v>
      </c>
      <c r="O29" s="2206" t="str">
        <f t="shared" si="20"/>
        <v>2025.3</v>
      </c>
      <c r="P29" s="2306" t="str">
        <f t="shared" si="20"/>
        <v>2026.3</v>
      </c>
      <c r="Q29" s="912" t="s">
        <v>638</v>
      </c>
      <c r="R29" s="913" t="s">
        <v>558</v>
      </c>
      <c r="S29" s="1131"/>
      <c r="U29" s="166"/>
      <c r="V29" s="188" t="s">
        <v>144</v>
      </c>
      <c r="W29" s="163">
        <f t="shared" ref="W29:AG29" si="21">IF(W14="-","-",ROUNDDOWN(W14,-6))</f>
        <v>485000000</v>
      </c>
      <c r="X29" s="163">
        <f t="shared" si="21"/>
        <v>202000000</v>
      </c>
      <c r="Y29" s="163">
        <f t="shared" si="21"/>
        <v>171000000</v>
      </c>
      <c r="Z29" s="164">
        <f t="shared" si="21"/>
        <v>116000000</v>
      </c>
      <c r="AA29" s="164">
        <f t="shared" si="21"/>
        <v>103000000</v>
      </c>
      <c r="AB29" s="164">
        <f t="shared" si="21"/>
        <v>271000000</v>
      </c>
      <c r="AC29" s="164">
        <f t="shared" si="21"/>
        <v>136000000</v>
      </c>
      <c r="AD29" s="164">
        <f t="shared" si="21"/>
        <v>130000000</v>
      </c>
      <c r="AE29" s="164">
        <f t="shared" si="21"/>
        <v>331000000</v>
      </c>
      <c r="AF29" s="220">
        <f t="shared" si="21"/>
        <v>276000000</v>
      </c>
      <c r="AG29" s="215">
        <f t="shared" si="21"/>
        <v>380000000</v>
      </c>
      <c r="AH29" s="191">
        <f>IF(ISERROR((AG29/AF29-1)*100),"-",(AG29/AF29-1)*100)</f>
        <v>37.681159420289845</v>
      </c>
      <c r="AI29" s="192">
        <f>IF(ISERROR(((AG29/W29)^(1/10)-1)*100),"-",IF(Z29&lt;0,"-",((AG29/W29)^(1/10)-1)*100))</f>
        <v>-2.4102544155281014</v>
      </c>
    </row>
    <row r="30" spans="1:37" ht="18.95" customHeight="1" thickBot="1">
      <c r="A30" s="1131"/>
      <c r="B30" s="2506"/>
      <c r="C30" s="2506"/>
      <c r="D30" s="2506"/>
      <c r="E30" s="2506"/>
      <c r="F30" s="2207"/>
      <c r="G30" s="2207"/>
      <c r="H30" s="2207"/>
      <c r="I30" s="2207"/>
      <c r="J30" s="2207"/>
      <c r="K30" s="2207"/>
      <c r="L30" s="2207"/>
      <c r="M30" s="2207"/>
      <c r="N30" s="2207"/>
      <c r="O30" s="2207"/>
      <c r="P30" s="2450"/>
      <c r="Q30" s="646" t="s">
        <v>511</v>
      </c>
      <c r="R30" s="647" t="s">
        <v>509</v>
      </c>
      <c r="S30" s="1131"/>
      <c r="U30" s="169" t="s">
        <v>35</v>
      </c>
      <c r="V30" s="196" t="s">
        <v>70</v>
      </c>
      <c r="W30" s="156">
        <f>IF(OR(W29="-",W28="-"),"-",W15)</f>
        <v>4.8091891564635674</v>
      </c>
      <c r="X30" s="156">
        <f t="shared" ref="X30:AG30" si="22">IF(OR(X29="-",X28="-"),"-",X15)</f>
        <v>2.1580713940196472</v>
      </c>
      <c r="Y30" s="156">
        <f t="shared" si="22"/>
        <v>1.7493846957281469</v>
      </c>
      <c r="Z30" s="156">
        <f t="shared" si="22"/>
        <v>1.2017836345244559</v>
      </c>
      <c r="AA30" s="156">
        <f t="shared" si="22"/>
        <v>1.1365561189622437</v>
      </c>
      <c r="AB30" s="156">
        <f t="shared" si="22"/>
        <v>3.1428579748027006</v>
      </c>
      <c r="AC30" s="156">
        <f t="shared" si="22"/>
        <v>1.4657180582780478</v>
      </c>
      <c r="AD30" s="156">
        <f t="shared" si="22"/>
        <v>1.2512186446156874</v>
      </c>
      <c r="AE30" s="156">
        <f t="shared" si="22"/>
        <v>2.8987713222302891</v>
      </c>
      <c r="AF30" s="195">
        <f t="shared" si="22"/>
        <v>2.1848064192181713</v>
      </c>
      <c r="AG30" s="208">
        <f t="shared" si="22"/>
        <v>3.052434988170547</v>
      </c>
      <c r="AH30" s="209" t="s">
        <v>8</v>
      </c>
      <c r="AI30" s="221" t="s">
        <v>68</v>
      </c>
    </row>
    <row r="31" spans="1:37" ht="17.100000000000001" customHeight="1">
      <c r="A31" s="1131"/>
      <c r="B31" s="2539" t="s">
        <v>937</v>
      </c>
      <c r="C31" s="2539"/>
      <c r="D31" s="2539"/>
      <c r="E31" s="2539"/>
      <c r="F31" s="1477">
        <f t="shared" ref="F31:G33" si="23">W35</f>
        <v>23</v>
      </c>
      <c r="G31" s="1477">
        <f t="shared" si="23"/>
        <v>22</v>
      </c>
      <c r="H31" s="1477">
        <f t="shared" ref="H31:P33" si="24">Y35</f>
        <v>20</v>
      </c>
      <c r="I31" s="1477">
        <f t="shared" si="24"/>
        <v>17</v>
      </c>
      <c r="J31" s="1477">
        <f t="shared" si="24"/>
        <v>15</v>
      </c>
      <c r="K31" s="1477">
        <f t="shared" si="24"/>
        <v>15</v>
      </c>
      <c r="L31" s="1477">
        <f t="shared" si="24"/>
        <v>15</v>
      </c>
      <c r="M31" s="1477">
        <f t="shared" si="24"/>
        <v>15</v>
      </c>
      <c r="N31" s="1477">
        <f t="shared" si="24"/>
        <v>15</v>
      </c>
      <c r="O31" s="1477">
        <f t="shared" si="24"/>
        <v>16</v>
      </c>
      <c r="P31" s="1477">
        <f t="shared" si="24"/>
        <v>18</v>
      </c>
      <c r="Q31" s="1419">
        <f t="shared" ref="Q31:R33" si="25">AH35</f>
        <v>12.5</v>
      </c>
      <c r="R31" s="1419">
        <f t="shared" si="25"/>
        <v>-2.4214260434985424</v>
      </c>
      <c r="S31" s="1131"/>
    </row>
    <row r="32" spans="1:37" ht="17.100000000000001" customHeight="1" thickBot="1">
      <c r="A32" s="1131"/>
      <c r="B32" s="2540" t="s">
        <v>938</v>
      </c>
      <c r="C32" s="2540"/>
      <c r="D32" s="2540"/>
      <c r="E32" s="2540"/>
      <c r="F32" s="1477">
        <f t="shared" si="23"/>
        <v>147</v>
      </c>
      <c r="G32" s="1477">
        <f t="shared" si="23"/>
        <v>147</v>
      </c>
      <c r="H32" s="1477">
        <f t="shared" si="24"/>
        <v>144</v>
      </c>
      <c r="I32" s="1477">
        <f t="shared" si="24"/>
        <v>141</v>
      </c>
      <c r="J32" s="1477">
        <f t="shared" si="24"/>
        <v>137</v>
      </c>
      <c r="K32" s="1477">
        <f t="shared" si="24"/>
        <v>128</v>
      </c>
      <c r="L32" s="1477">
        <f t="shared" si="24"/>
        <v>129</v>
      </c>
      <c r="M32" s="1477">
        <f t="shared" si="24"/>
        <v>132</v>
      </c>
      <c r="N32" s="1477">
        <f t="shared" si="24"/>
        <v>123</v>
      </c>
      <c r="O32" s="1477">
        <f t="shared" si="24"/>
        <v>125</v>
      </c>
      <c r="P32" s="1477">
        <f t="shared" si="24"/>
        <v>124</v>
      </c>
      <c r="Q32" s="1419">
        <f t="shared" si="25"/>
        <v>-0.80000000000000071</v>
      </c>
      <c r="R32" s="1419">
        <f t="shared" si="25"/>
        <v>-1.6871162804293016</v>
      </c>
      <c r="S32" s="1131"/>
      <c r="U32" s="182" t="s">
        <v>41</v>
      </c>
      <c r="V32" s="182"/>
      <c r="W32" s="159"/>
      <c r="X32" s="159"/>
      <c r="Y32" s="159"/>
      <c r="Z32" s="159"/>
      <c r="AA32" s="159"/>
      <c r="AB32" s="159"/>
      <c r="AC32" s="159"/>
      <c r="AD32" s="159"/>
      <c r="AE32" s="159"/>
      <c r="AF32" s="159"/>
    </row>
    <row r="33" spans="1:36" ht="17.100000000000001" customHeight="1">
      <c r="A33" s="1131"/>
      <c r="B33" s="2541" t="s">
        <v>939</v>
      </c>
      <c r="C33" s="2541"/>
      <c r="D33" s="2541"/>
      <c r="E33" s="2541"/>
      <c r="F33" s="1478">
        <f t="shared" si="23"/>
        <v>170</v>
      </c>
      <c r="G33" s="1478">
        <f>X37</f>
        <v>169</v>
      </c>
      <c r="H33" s="1478">
        <f>Y37</f>
        <v>164</v>
      </c>
      <c r="I33" s="1478">
        <f t="shared" si="24"/>
        <v>158</v>
      </c>
      <c r="J33" s="1478">
        <f t="shared" si="24"/>
        <v>152</v>
      </c>
      <c r="K33" s="1478">
        <f t="shared" si="24"/>
        <v>143</v>
      </c>
      <c r="L33" s="1478">
        <f t="shared" si="24"/>
        <v>144</v>
      </c>
      <c r="M33" s="1478">
        <f t="shared" si="24"/>
        <v>147</v>
      </c>
      <c r="N33" s="1478">
        <f t="shared" si="24"/>
        <v>138</v>
      </c>
      <c r="O33" s="1478">
        <f t="shared" si="24"/>
        <v>141</v>
      </c>
      <c r="P33" s="1478">
        <f t="shared" si="24"/>
        <v>142</v>
      </c>
      <c r="Q33" s="1421">
        <f t="shared" si="25"/>
        <v>0.70921985815601829</v>
      </c>
      <c r="R33" s="1421">
        <f t="shared" si="25"/>
        <v>-1.7836156638685097</v>
      </c>
      <c r="S33" s="1131"/>
      <c r="U33" s="222"/>
      <c r="V33" s="26"/>
      <c r="W33" s="223" t="str">
        <f t="shared" ref="W33:AG33" si="26">W5</f>
        <v>2016.3</v>
      </c>
      <c r="X33" s="224" t="str">
        <f t="shared" si="26"/>
        <v>2017.3</v>
      </c>
      <c r="Y33" s="224" t="str">
        <f t="shared" si="26"/>
        <v>2018.3</v>
      </c>
      <c r="Z33" s="224" t="str">
        <f t="shared" si="26"/>
        <v>2019.3</v>
      </c>
      <c r="AA33" s="224" t="str">
        <f t="shared" si="26"/>
        <v>2020.3</v>
      </c>
      <c r="AB33" s="224" t="str">
        <f t="shared" si="26"/>
        <v>2021.3</v>
      </c>
      <c r="AC33" s="224" t="str">
        <f t="shared" si="26"/>
        <v>2022.3</v>
      </c>
      <c r="AD33" s="224" t="str">
        <f t="shared" si="26"/>
        <v>2023.3</v>
      </c>
      <c r="AE33" s="224" t="str">
        <f t="shared" si="26"/>
        <v>2024.3</v>
      </c>
      <c r="AF33" s="225" t="str">
        <f t="shared" si="26"/>
        <v>2025.3</v>
      </c>
      <c r="AG33" s="226" t="str">
        <f t="shared" si="26"/>
        <v>2026.3</v>
      </c>
      <c r="AH33" s="174" t="s">
        <v>155</v>
      </c>
      <c r="AI33" s="174" t="s">
        <v>83</v>
      </c>
      <c r="AJ33" s="114"/>
    </row>
    <row r="34" spans="1:36" ht="22.5" customHeight="1" thickBot="1">
      <c r="A34" s="1131"/>
      <c r="B34" s="1132"/>
      <c r="C34" s="1132"/>
      <c r="D34" s="1132"/>
      <c r="E34" s="1132"/>
      <c r="F34" s="1163"/>
      <c r="G34" s="1163"/>
      <c r="H34" s="1163"/>
      <c r="I34" s="1163"/>
      <c r="J34" s="1163"/>
      <c r="K34" s="1163"/>
      <c r="L34" s="1163"/>
      <c r="M34" s="1163"/>
      <c r="N34" s="1163"/>
      <c r="O34" s="1163"/>
      <c r="P34" s="1163"/>
      <c r="Q34" s="1163"/>
      <c r="R34" s="1163"/>
      <c r="S34" s="1131"/>
      <c r="U34" s="227"/>
      <c r="V34" s="29"/>
      <c r="W34" s="228"/>
      <c r="X34" s="228"/>
      <c r="Y34" s="228"/>
      <c r="Z34" s="228"/>
      <c r="AA34" s="228"/>
      <c r="AB34" s="228"/>
      <c r="AC34" s="228"/>
      <c r="AD34" s="228"/>
      <c r="AE34" s="228"/>
      <c r="AF34" s="228"/>
      <c r="AG34" s="229"/>
      <c r="AH34" s="72" t="s">
        <v>373</v>
      </c>
      <c r="AI34" s="73" t="s">
        <v>14</v>
      </c>
      <c r="AJ34" s="114"/>
    </row>
    <row r="35" spans="1:36" ht="17.25" customHeight="1" thickTop="1">
      <c r="A35" s="1131"/>
      <c r="B35" s="1132"/>
      <c r="C35" s="1132"/>
      <c r="D35" s="1132"/>
      <c r="E35" s="1132"/>
      <c r="F35" s="1163"/>
      <c r="G35" s="1163"/>
      <c r="H35" s="1163"/>
      <c r="I35" s="1163"/>
      <c r="J35" s="1163"/>
      <c r="K35" s="1163"/>
      <c r="L35" s="1163"/>
      <c r="M35" s="1163"/>
      <c r="N35" s="1163"/>
      <c r="O35" s="1163"/>
      <c r="P35" s="1163"/>
      <c r="Q35" s="1163"/>
      <c r="R35" s="1163"/>
      <c r="S35" s="1131"/>
      <c r="U35" s="230" t="s">
        <v>325</v>
      </c>
      <c r="V35" s="231"/>
      <c r="W35" s="232">
        <v>23</v>
      </c>
      <c r="X35" s="232">
        <v>22</v>
      </c>
      <c r="Y35" s="232">
        <v>20</v>
      </c>
      <c r="Z35" s="232">
        <v>17</v>
      </c>
      <c r="AA35" s="232">
        <v>15</v>
      </c>
      <c r="AB35" s="232">
        <v>15</v>
      </c>
      <c r="AC35" s="232">
        <v>15</v>
      </c>
      <c r="AD35" s="232">
        <v>15</v>
      </c>
      <c r="AE35" s="232">
        <v>15</v>
      </c>
      <c r="AF35" s="233">
        <v>16</v>
      </c>
      <c r="AG35" s="234">
        <v>18</v>
      </c>
      <c r="AH35" s="235">
        <f>IF(ISERROR((AG35/AF35-1)*100),"-",(AG35/AF35-1)*100)</f>
        <v>12.5</v>
      </c>
      <c r="AI35" s="235">
        <f>IF(ISERROR(((AG35/W35)^(1/10)-1)*100),"-",((AG35/W35)^(1/10)-1)*100)</f>
        <v>-2.4214260434985424</v>
      </c>
      <c r="AJ35" s="114"/>
    </row>
    <row r="36" spans="1:36" ht="15" customHeight="1" thickBot="1">
      <c r="A36" s="1131"/>
      <c r="B36" s="1132"/>
      <c r="C36" s="1132"/>
      <c r="D36" s="1132"/>
      <c r="E36" s="1132"/>
      <c r="F36" s="1163"/>
      <c r="G36" s="1163"/>
      <c r="H36" s="1163"/>
      <c r="I36" s="1163"/>
      <c r="J36" s="1163"/>
      <c r="K36" s="1163"/>
      <c r="L36" s="1163"/>
      <c r="M36" s="1163"/>
      <c r="N36" s="1163"/>
      <c r="O36" s="1163"/>
      <c r="P36" s="1163"/>
      <c r="Q36" s="1163"/>
      <c r="R36" s="1163"/>
      <c r="S36" s="1131"/>
      <c r="U36" s="237" t="s">
        <v>145</v>
      </c>
      <c r="V36" s="238"/>
      <c r="W36" s="236">
        <v>147</v>
      </c>
      <c r="X36" s="236">
        <v>147</v>
      </c>
      <c r="Y36" s="236">
        <v>144</v>
      </c>
      <c r="Z36" s="236">
        <v>141</v>
      </c>
      <c r="AA36" s="236">
        <v>137</v>
      </c>
      <c r="AB36" s="236">
        <v>128</v>
      </c>
      <c r="AC36" s="236">
        <v>129</v>
      </c>
      <c r="AD36" s="236">
        <v>132</v>
      </c>
      <c r="AE36" s="236">
        <v>123</v>
      </c>
      <c r="AF36" s="239">
        <v>125</v>
      </c>
      <c r="AG36" s="240">
        <v>124</v>
      </c>
      <c r="AH36" s="241">
        <f>IF(ISERROR((AG36/AF36-1)*100),"-",(AG36/AF36-1)*100)</f>
        <v>-0.80000000000000071</v>
      </c>
      <c r="AI36" s="241">
        <f>IF(ISERROR(((AG36/W36)^(1/10)-1)*100),"-",((AG36/W36)^(1/10)-1)*100)</f>
        <v>-1.6871162804293016</v>
      </c>
      <c r="AJ36" s="114"/>
    </row>
    <row r="37" spans="1:36" ht="21" customHeight="1" thickTop="1" thickBot="1">
      <c r="A37" s="611"/>
      <c r="B37" s="612"/>
      <c r="C37" s="612"/>
      <c r="D37" s="612"/>
      <c r="E37" s="612"/>
      <c r="F37" s="613"/>
      <c r="G37" s="613"/>
      <c r="H37" s="613"/>
      <c r="I37" s="613"/>
      <c r="J37" s="613"/>
      <c r="K37" s="613"/>
      <c r="L37" s="613"/>
      <c r="M37" s="613"/>
      <c r="N37" s="613"/>
      <c r="O37" s="613"/>
      <c r="P37" s="613"/>
      <c r="Q37" s="613"/>
      <c r="R37" s="613"/>
      <c r="S37" s="611"/>
      <c r="U37" s="242" t="s">
        <v>300</v>
      </c>
      <c r="V37" s="243"/>
      <c r="W37" s="232">
        <f>SUM(W35:W36)</f>
        <v>170</v>
      </c>
      <c r="X37" s="232">
        <f>SUM(X35:X36)</f>
        <v>169</v>
      </c>
      <c r="Y37" s="232">
        <f>SUM(Y35:Y36)</f>
        <v>164</v>
      </c>
      <c r="Z37" s="232">
        <f>SUM(Z35:Z36)</f>
        <v>158</v>
      </c>
      <c r="AA37" s="232">
        <f t="shared" ref="AA37:AG37" si="27">SUM(AA35:AA36)</f>
        <v>152</v>
      </c>
      <c r="AB37" s="232">
        <f t="shared" si="27"/>
        <v>143</v>
      </c>
      <c r="AC37" s="232">
        <f t="shared" si="27"/>
        <v>144</v>
      </c>
      <c r="AD37" s="232">
        <f t="shared" si="27"/>
        <v>147</v>
      </c>
      <c r="AE37" s="232">
        <f t="shared" si="27"/>
        <v>138</v>
      </c>
      <c r="AF37" s="232">
        <f t="shared" si="27"/>
        <v>141</v>
      </c>
      <c r="AG37" s="244">
        <f t="shared" si="27"/>
        <v>142</v>
      </c>
      <c r="AH37" s="245">
        <f>IF(ISERROR((AG37/AF37-1)*100),"-",(AG37/AF37-1)*100)</f>
        <v>0.70921985815601829</v>
      </c>
      <c r="AI37" s="245">
        <f>IF(ISERROR(((AG37/W37)^(1/10)-1)*100),"-",((AG37/W37)^(1/10)-1)*100)</f>
        <v>-1.7836156638685097</v>
      </c>
      <c r="AJ37" s="114"/>
    </row>
    <row r="38" spans="1:36" ht="23.25" customHeight="1">
      <c r="B38" s="158"/>
      <c r="C38" s="158"/>
      <c r="D38" s="158"/>
      <c r="E38" s="158"/>
      <c r="F38" s="159"/>
      <c r="G38" s="159"/>
      <c r="H38" s="159"/>
      <c r="I38" s="159"/>
      <c r="J38" s="159"/>
      <c r="K38" s="159"/>
      <c r="L38" s="159"/>
      <c r="M38" s="159"/>
      <c r="N38" s="159"/>
      <c r="O38" s="159"/>
      <c r="P38" s="159"/>
      <c r="Q38" s="159"/>
      <c r="R38" s="159"/>
    </row>
    <row r="39" spans="1:36" ht="11.25" customHeight="1">
      <c r="B39" s="158"/>
      <c r="C39" s="158"/>
      <c r="D39" s="158"/>
      <c r="E39" s="158"/>
      <c r="F39" s="159"/>
      <c r="G39" s="159"/>
      <c r="H39" s="159"/>
      <c r="I39" s="159"/>
      <c r="J39" s="159"/>
      <c r="K39" s="159"/>
      <c r="L39" s="159"/>
      <c r="M39" s="159"/>
      <c r="N39" s="159"/>
      <c r="O39" s="159"/>
      <c r="P39" s="159"/>
      <c r="Q39" s="159"/>
      <c r="R39" s="159"/>
      <c r="U39" s="144" t="s">
        <v>292</v>
      </c>
    </row>
    <row r="40" spans="1:36" ht="15" customHeight="1">
      <c r="B40" s="158"/>
      <c r="C40" s="158"/>
      <c r="D40" s="158"/>
      <c r="E40" s="158"/>
      <c r="F40" s="159"/>
      <c r="G40" s="159"/>
      <c r="H40" s="159"/>
      <c r="I40" s="159"/>
      <c r="J40" s="159"/>
      <c r="K40" s="159"/>
      <c r="L40" s="159"/>
      <c r="M40" s="159"/>
      <c r="N40" s="159"/>
      <c r="O40" s="159"/>
      <c r="P40" s="159"/>
      <c r="Q40" s="159"/>
      <c r="R40" s="159"/>
      <c r="U40" s="246" t="s">
        <v>293</v>
      </c>
    </row>
    <row r="41" spans="1:36" ht="18.75" customHeight="1">
      <c r="B41" s="158"/>
      <c r="C41" s="158"/>
      <c r="D41" s="158"/>
      <c r="E41" s="158"/>
      <c r="F41" s="159"/>
      <c r="G41" s="159"/>
      <c r="H41" s="159"/>
      <c r="I41" s="159"/>
      <c r="J41" s="159"/>
      <c r="K41" s="159"/>
      <c r="L41" s="159"/>
      <c r="M41" s="159"/>
      <c r="N41" s="159"/>
      <c r="O41" s="159"/>
      <c r="P41" s="159"/>
      <c r="Q41" s="159"/>
      <c r="R41" s="159"/>
      <c r="U41" s="144" t="s">
        <v>241</v>
      </c>
    </row>
    <row r="42" spans="1:36">
      <c r="B42" s="158"/>
      <c r="C42" s="158"/>
      <c r="D42" s="158"/>
      <c r="E42" s="158"/>
      <c r="F42" s="159"/>
      <c r="G42" s="159"/>
      <c r="H42" s="159"/>
      <c r="I42" s="159"/>
      <c r="J42" s="159"/>
      <c r="K42" s="159"/>
      <c r="L42" s="159"/>
      <c r="M42" s="159"/>
      <c r="N42" s="159"/>
      <c r="O42" s="159"/>
      <c r="P42" s="159"/>
      <c r="Q42" s="159"/>
      <c r="R42" s="159"/>
    </row>
    <row r="43" spans="1:36">
      <c r="B43" s="145"/>
      <c r="C43" s="145"/>
      <c r="D43" s="145"/>
      <c r="E43" s="145"/>
      <c r="U43" s="167" t="s">
        <v>435</v>
      </c>
    </row>
    <row r="44" spans="1:36">
      <c r="U44" s="167" t="s">
        <v>448</v>
      </c>
    </row>
  </sheetData>
  <sheetProtection algorithmName="SHA-512" hashValue="elhqIZJlllwRQVExdwDX7qc6fz/dHzLQlkzM8q7vMJeZtI/UfCQDR9Xnjvp8CbnJbGlvWDFzeJhhmF+df0XpMg==" saltValue="ZeNOBgrQZZmD6J6XCxGysw==" spinCount="100000" sheet="1" objects="1" scenarios="1"/>
  <customSheetViews>
    <customSheetView guid="{06451E13-97D0-44F4-875B-E8D80B2F1CF1}" scale="85" showPageBreaks="1" fitToPage="1" printArea="1" view="pageBreakPreview">
      <selection activeCell="AA7" sqref="AA7"/>
      <pageMargins left="0" right="0" top="0" bottom="0" header="0" footer="0"/>
      <printOptions horizontalCentered="1" verticalCentered="1"/>
      <pageSetup paperSize="9" scale="83" orientation="landscape" r:id="rId1"/>
      <headerFooter scaleWithDoc="0" alignWithMargins="0">
        <oddFooter>&amp;C&amp;"Arial,標準"&amp;12 17</oddFooter>
      </headerFooter>
    </customSheetView>
  </customSheetViews>
  <mergeCells count="54">
    <mergeCell ref="U5:U6"/>
    <mergeCell ref="V5:V6"/>
    <mergeCell ref="AG20:AG21"/>
    <mergeCell ref="AC20:AC21"/>
    <mergeCell ref="AD20:AD21"/>
    <mergeCell ref="AE20:AE21"/>
    <mergeCell ref="AF20:AF21"/>
    <mergeCell ref="AB20:AB21"/>
    <mergeCell ref="U20:U21"/>
    <mergeCell ref="V20:V21"/>
    <mergeCell ref="W20:W21"/>
    <mergeCell ref="X20:X21"/>
    <mergeCell ref="Y20:Y21"/>
    <mergeCell ref="Z20:Z21"/>
    <mergeCell ref="AA20:AA21"/>
    <mergeCell ref="J29:J30"/>
    <mergeCell ref="I29:I30"/>
    <mergeCell ref="P29:P30"/>
    <mergeCell ref="O29:O30"/>
    <mergeCell ref="N29:N30"/>
    <mergeCell ref="M29:M30"/>
    <mergeCell ref="L29:L30"/>
    <mergeCell ref="K29:K30"/>
    <mergeCell ref="P5:P6"/>
    <mergeCell ref="K5:K6"/>
    <mergeCell ref="J5:J6"/>
    <mergeCell ref="H5:H6"/>
    <mergeCell ref="O5:O6"/>
    <mergeCell ref="N5:N6"/>
    <mergeCell ref="M5:M6"/>
    <mergeCell ref="L5:L6"/>
    <mergeCell ref="B31:E31"/>
    <mergeCell ref="B32:E32"/>
    <mergeCell ref="B33:E33"/>
    <mergeCell ref="G5:G6"/>
    <mergeCell ref="I5:I6"/>
    <mergeCell ref="B7:C9"/>
    <mergeCell ref="H29:H30"/>
    <mergeCell ref="G29:G30"/>
    <mergeCell ref="F29:F30"/>
    <mergeCell ref="B29:E30"/>
    <mergeCell ref="B10:C12"/>
    <mergeCell ref="F5:F6"/>
    <mergeCell ref="B5:E6"/>
    <mergeCell ref="D10:E10"/>
    <mergeCell ref="D11:E11"/>
    <mergeCell ref="D12:E12"/>
    <mergeCell ref="D7:E7"/>
    <mergeCell ref="D8:E8"/>
    <mergeCell ref="D9:E9"/>
    <mergeCell ref="B13:C15"/>
    <mergeCell ref="D13:E13"/>
    <mergeCell ref="D14:E14"/>
    <mergeCell ref="D15:E15"/>
  </mergeCells>
  <phoneticPr fontId="17"/>
  <printOptions horizontalCentered="1" verticalCentered="1"/>
  <pageMargins left="0" right="0" top="0" bottom="0" header="0" footer="0"/>
  <pageSetup paperSize="9" scale="85" orientation="landscape" r:id="rId2"/>
  <headerFooter scaleWithDoc="0" alignWithMargins="0">
    <oddFooter>&amp;C&amp;"Arial,標準"&amp;12 17</oddFooter>
  </headerFooter>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39"/>
  <sheetViews>
    <sheetView view="pageBreakPreview" topLeftCell="E1" zoomScaleNormal="140" zoomScaleSheetLayoutView="100" workbookViewId="0">
      <selection activeCell="O12" sqref="O12"/>
    </sheetView>
  </sheetViews>
  <sheetFormatPr defaultColWidth="9" defaultRowHeight="16.5"/>
  <cols>
    <col min="1" max="1" width="2.85546875" style="649" customWidth="1"/>
    <col min="2" max="2" width="6.5703125" style="649" customWidth="1"/>
    <col min="3" max="3" width="2.85546875" style="649" customWidth="1"/>
    <col min="4" max="4" width="2.140625" style="649" customWidth="1"/>
    <col min="5" max="5" width="51.140625" style="649" customWidth="1"/>
    <col min="6" max="6" width="2.5703125" style="649" customWidth="1"/>
    <col min="7" max="7" width="5.5703125" style="649" customWidth="1"/>
    <col min="8" max="9" width="2.85546875" style="649" customWidth="1"/>
    <col min="10" max="10" width="2.140625" style="649" customWidth="1"/>
    <col min="11" max="11" width="49.85546875" style="649" customWidth="1"/>
    <col min="12" max="12" width="2.85546875" style="649" customWidth="1"/>
    <col min="13" max="13" width="6.5703125" style="649" customWidth="1"/>
    <col min="14" max="14" width="2.85546875" style="648" customWidth="1"/>
    <col min="15" max="15" width="83.85546875" style="649" customWidth="1"/>
    <col min="16" max="16" width="6.85546875" style="649" customWidth="1"/>
    <col min="17" max="17" width="4.85546875" style="649" customWidth="1"/>
    <col min="18" max="19" width="8.140625" style="649" customWidth="1"/>
    <col min="20" max="20" width="7.5703125" style="649" customWidth="1"/>
    <col min="21" max="16384" width="9" style="649"/>
  </cols>
  <sheetData>
    <row r="1" spans="1:16" ht="12" customHeight="1">
      <c r="A1" s="648"/>
      <c r="B1" s="648"/>
      <c r="C1" s="648"/>
      <c r="D1" s="648"/>
      <c r="E1" s="648"/>
      <c r="F1" s="648"/>
      <c r="G1" s="648"/>
      <c r="H1" s="648"/>
      <c r="I1" s="648"/>
      <c r="J1" s="648"/>
      <c r="K1" s="648"/>
      <c r="L1" s="648"/>
      <c r="M1" s="648"/>
    </row>
    <row r="2" spans="1:16" ht="25.5" customHeight="1">
      <c r="A2" s="648"/>
      <c r="B2" s="650"/>
      <c r="C2" s="650"/>
      <c r="D2" s="650"/>
      <c r="E2" s="650"/>
      <c r="F2" s="648"/>
      <c r="G2" s="648"/>
      <c r="H2" s="648"/>
      <c r="I2" s="648"/>
      <c r="J2" s="648"/>
      <c r="K2" s="648"/>
      <c r="L2" s="592"/>
      <c r="M2" s="648"/>
    </row>
    <row r="3" spans="1:16" ht="23.25" customHeight="1">
      <c r="A3" s="648"/>
      <c r="B3" s="648"/>
      <c r="C3" s="648"/>
      <c r="D3" s="648"/>
      <c r="E3" s="648"/>
      <c r="F3" s="648"/>
      <c r="G3" s="648"/>
      <c r="H3" s="648"/>
      <c r="I3" s="648"/>
      <c r="J3" s="648"/>
      <c r="K3" s="648"/>
      <c r="L3" s="648"/>
      <c r="M3" s="648"/>
    </row>
    <row r="4" spans="1:16" ht="25.5" customHeight="1">
      <c r="A4" s="648"/>
      <c r="B4" s="648"/>
      <c r="C4" s="648"/>
      <c r="D4" s="648"/>
      <c r="E4" s="648"/>
      <c r="F4" s="648"/>
      <c r="G4" s="648"/>
      <c r="H4" s="648"/>
      <c r="I4" s="648"/>
      <c r="J4" s="648"/>
      <c r="K4" s="648"/>
      <c r="L4" s="648"/>
      <c r="M4" s="651"/>
      <c r="N4" s="651"/>
      <c r="O4" s="652"/>
      <c r="P4" s="653"/>
    </row>
    <row r="5" spans="1:16" ht="16.5" customHeight="1">
      <c r="A5" s="648"/>
      <c r="B5" s="648"/>
      <c r="C5" s="648"/>
      <c r="D5" s="648"/>
      <c r="E5" s="648"/>
      <c r="F5" s="648"/>
      <c r="G5" s="648"/>
      <c r="H5" s="648"/>
      <c r="I5" s="648"/>
      <c r="J5" s="648"/>
      <c r="K5" s="648"/>
      <c r="L5" s="651"/>
      <c r="M5" s="651"/>
      <c r="N5" s="651"/>
      <c r="O5" s="652"/>
    </row>
    <row r="6" spans="1:16" ht="12.75" customHeight="1">
      <c r="A6" s="648"/>
      <c r="B6" s="648"/>
      <c r="C6" s="648"/>
      <c r="D6" s="648"/>
      <c r="E6" s="648"/>
      <c r="F6" s="648"/>
      <c r="G6" s="648"/>
      <c r="H6" s="648"/>
      <c r="I6" s="648"/>
      <c r="J6" s="648"/>
      <c r="K6" s="648"/>
      <c r="L6" s="648"/>
      <c r="M6" s="651"/>
      <c r="N6" s="651"/>
      <c r="O6" s="652"/>
    </row>
    <row r="7" spans="1:16" ht="6" customHeight="1">
      <c r="A7" s="648"/>
      <c r="B7" s="648"/>
      <c r="C7" s="648"/>
      <c r="D7" s="654"/>
      <c r="E7" s="648"/>
      <c r="F7" s="648"/>
      <c r="G7" s="648"/>
      <c r="H7" s="648"/>
      <c r="I7" s="648"/>
      <c r="J7" s="648"/>
      <c r="K7" s="648"/>
      <c r="L7" s="651"/>
      <c r="M7" s="654"/>
      <c r="N7" s="654"/>
      <c r="O7" s="652"/>
    </row>
    <row r="8" spans="1:16" ht="9.75" customHeight="1">
      <c r="A8" s="648"/>
      <c r="B8" s="648"/>
      <c r="C8" s="648"/>
      <c r="D8" s="648"/>
      <c r="E8" s="648"/>
      <c r="F8" s="648"/>
      <c r="G8" s="648"/>
      <c r="H8" s="648"/>
      <c r="I8" s="648"/>
      <c r="J8" s="648"/>
      <c r="K8" s="648"/>
      <c r="L8" s="651"/>
      <c r="M8" s="651"/>
      <c r="N8" s="651"/>
      <c r="O8" s="652"/>
      <c r="P8" s="653"/>
    </row>
    <row r="9" spans="1:16" ht="6.75" customHeight="1">
      <c r="A9" s="648"/>
      <c r="B9" s="648"/>
      <c r="C9" s="648"/>
      <c r="D9" s="648"/>
      <c r="E9" s="648"/>
      <c r="F9" s="648"/>
      <c r="G9" s="648"/>
      <c r="H9" s="648"/>
      <c r="I9" s="648"/>
      <c r="J9" s="648"/>
      <c r="K9" s="648"/>
      <c r="L9" s="651"/>
      <c r="M9" s="651"/>
      <c r="N9" s="651"/>
      <c r="O9" s="652"/>
      <c r="P9" s="653"/>
    </row>
    <row r="10" spans="1:16" ht="12" customHeight="1">
      <c r="A10" s="648"/>
      <c r="B10" s="648"/>
      <c r="C10" s="648"/>
      <c r="D10" s="648"/>
      <c r="E10" s="648"/>
      <c r="F10" s="648"/>
      <c r="G10" s="648"/>
      <c r="H10" s="648"/>
      <c r="I10" s="648"/>
      <c r="J10" s="648"/>
      <c r="K10" s="648"/>
      <c r="L10" s="651"/>
      <c r="M10" s="651"/>
      <c r="N10" s="651"/>
      <c r="O10" s="652"/>
      <c r="P10" s="653"/>
    </row>
    <row r="11" spans="1:16" ht="10.5" customHeight="1">
      <c r="A11" s="648"/>
      <c r="B11" s="648"/>
      <c r="C11" s="648"/>
      <c r="D11" s="648"/>
      <c r="E11" s="648"/>
      <c r="F11" s="648"/>
      <c r="G11" s="648"/>
      <c r="H11" s="648"/>
      <c r="I11" s="648"/>
      <c r="J11" s="648"/>
      <c r="K11" s="648"/>
      <c r="L11" s="651"/>
      <c r="M11" s="651"/>
      <c r="N11" s="651"/>
      <c r="O11" s="652"/>
      <c r="P11" s="653"/>
    </row>
    <row r="12" spans="1:16" ht="153" customHeight="1">
      <c r="A12" s="648"/>
      <c r="B12" s="648"/>
      <c r="C12" s="648"/>
      <c r="D12" s="648"/>
      <c r="E12" s="648"/>
      <c r="F12" s="648"/>
      <c r="G12" s="648"/>
      <c r="H12" s="648"/>
      <c r="I12" s="648"/>
      <c r="J12" s="648"/>
      <c r="K12" s="648"/>
      <c r="L12" s="651"/>
      <c r="M12" s="651"/>
      <c r="N12" s="651"/>
      <c r="O12" s="652"/>
      <c r="P12" s="653"/>
    </row>
    <row r="13" spans="1:16" ht="16.5" customHeight="1">
      <c r="A13" s="648"/>
      <c r="B13" s="648"/>
      <c r="C13" s="648"/>
      <c r="D13" s="648"/>
      <c r="E13" s="648"/>
      <c r="F13" s="648"/>
      <c r="G13" s="648"/>
      <c r="H13" s="648"/>
      <c r="I13" s="648"/>
      <c r="J13" s="648"/>
      <c r="K13" s="648"/>
      <c r="L13" s="651"/>
      <c r="M13" s="651"/>
      <c r="N13" s="651"/>
      <c r="O13" s="652"/>
      <c r="P13" s="653"/>
    </row>
    <row r="14" spans="1:16" ht="3.75" customHeight="1">
      <c r="A14" s="648"/>
      <c r="B14" s="648"/>
      <c r="C14" s="648"/>
      <c r="D14" s="648"/>
      <c r="E14" s="648"/>
      <c r="F14" s="648"/>
      <c r="G14" s="648"/>
      <c r="H14" s="648"/>
      <c r="I14" s="648"/>
      <c r="J14" s="648"/>
      <c r="K14" s="648"/>
      <c r="L14" s="651"/>
      <c r="M14" s="651"/>
      <c r="N14" s="651"/>
      <c r="O14" s="652"/>
      <c r="P14" s="653"/>
    </row>
    <row r="15" spans="1:16" ht="15" hidden="1" customHeight="1">
      <c r="A15" s="648"/>
      <c r="B15" s="648"/>
      <c r="C15" s="648"/>
      <c r="D15" s="654"/>
      <c r="E15" s="648"/>
      <c r="F15" s="648"/>
      <c r="G15" s="648"/>
      <c r="H15" s="648"/>
      <c r="I15" s="648"/>
      <c r="J15" s="648"/>
      <c r="K15" s="648"/>
      <c r="L15" s="651"/>
      <c r="M15" s="654"/>
      <c r="N15" s="654"/>
      <c r="O15" s="652"/>
      <c r="P15" s="653"/>
    </row>
    <row r="16" spans="1:16" ht="73.5" customHeight="1">
      <c r="A16" s="648"/>
      <c r="B16" s="648"/>
      <c r="C16" s="648"/>
      <c r="D16" s="648"/>
      <c r="E16" s="648"/>
      <c r="F16" s="648"/>
      <c r="G16" s="648"/>
      <c r="H16" s="648"/>
      <c r="I16" s="648"/>
      <c r="J16" s="648"/>
      <c r="K16" s="648"/>
      <c r="L16" s="651"/>
      <c r="M16" s="651"/>
      <c r="N16" s="651"/>
      <c r="O16" s="652"/>
      <c r="P16" s="653"/>
    </row>
    <row r="17" spans="1:19" ht="24" customHeight="1">
      <c r="A17" s="648"/>
      <c r="B17" s="648"/>
      <c r="C17" s="648"/>
      <c r="D17" s="648"/>
      <c r="E17" s="648"/>
      <c r="F17" s="648"/>
      <c r="G17" s="648"/>
      <c r="H17" s="648"/>
      <c r="I17" s="648"/>
      <c r="J17" s="648"/>
      <c r="K17" s="648"/>
      <c r="L17" s="651"/>
      <c r="M17" s="651"/>
      <c r="N17" s="651"/>
      <c r="O17" s="652"/>
      <c r="P17" s="653"/>
    </row>
    <row r="18" spans="1:19" ht="18" customHeight="1">
      <c r="A18" s="648"/>
      <c r="B18" s="648"/>
      <c r="C18" s="648"/>
      <c r="D18" s="648"/>
      <c r="E18" s="648"/>
      <c r="F18" s="648"/>
      <c r="G18" s="648"/>
      <c r="H18" s="648"/>
      <c r="I18" s="648"/>
      <c r="J18" s="648"/>
      <c r="K18" s="648"/>
      <c r="L18" s="651"/>
      <c r="M18" s="651"/>
      <c r="N18" s="651"/>
      <c r="P18" s="653"/>
    </row>
    <row r="19" spans="1:19" ht="15.75" customHeight="1">
      <c r="A19" s="648"/>
      <c r="B19" s="648"/>
      <c r="C19" s="648"/>
      <c r="D19" s="648"/>
      <c r="E19" s="648"/>
      <c r="F19" s="648"/>
      <c r="G19" s="648"/>
      <c r="H19" s="648"/>
      <c r="I19" s="648"/>
      <c r="J19" s="648"/>
      <c r="K19" s="648"/>
      <c r="L19" s="648"/>
      <c r="M19" s="651"/>
      <c r="N19" s="651"/>
      <c r="O19" s="652"/>
      <c r="P19" s="653"/>
    </row>
    <row r="20" spans="1:19" ht="18" customHeight="1">
      <c r="A20" s="648"/>
      <c r="B20" s="648"/>
      <c r="C20" s="648"/>
      <c r="D20" s="648"/>
      <c r="E20" s="648"/>
      <c r="F20" s="648"/>
      <c r="G20" s="648"/>
      <c r="H20" s="648"/>
      <c r="I20" s="648"/>
      <c r="J20" s="648"/>
      <c r="K20" s="648"/>
      <c r="L20" s="651"/>
      <c r="M20" s="648"/>
      <c r="O20" s="652"/>
      <c r="P20" s="653"/>
    </row>
    <row r="21" spans="1:19" ht="24" customHeight="1">
      <c r="A21" s="648"/>
      <c r="B21" s="648"/>
      <c r="C21" s="648"/>
      <c r="D21" s="648"/>
      <c r="E21" s="648"/>
      <c r="F21" s="648"/>
      <c r="G21" s="648"/>
      <c r="H21" s="648"/>
      <c r="I21" s="648"/>
      <c r="J21" s="648"/>
      <c r="K21" s="648"/>
      <c r="L21" s="651"/>
      <c r="M21" s="651"/>
      <c r="N21" s="651"/>
      <c r="O21" s="652"/>
      <c r="P21" s="653"/>
    </row>
    <row r="22" spans="1:19" ht="11.25" customHeight="1">
      <c r="A22" s="648"/>
      <c r="B22" s="648"/>
      <c r="C22" s="648"/>
      <c r="D22" s="648"/>
      <c r="E22" s="648"/>
      <c r="F22" s="648"/>
      <c r="G22" s="648"/>
      <c r="H22" s="648"/>
      <c r="I22" s="648"/>
      <c r="J22" s="648"/>
      <c r="K22" s="648"/>
      <c r="L22" s="648"/>
      <c r="M22" s="648"/>
      <c r="N22" s="651"/>
      <c r="O22" s="652"/>
      <c r="P22" s="653"/>
    </row>
    <row r="23" spans="1:19" ht="9" customHeight="1">
      <c r="A23" s="648"/>
      <c r="B23" s="648"/>
      <c r="C23" s="648"/>
      <c r="D23" s="648"/>
      <c r="E23" s="648"/>
      <c r="F23" s="648"/>
      <c r="G23" s="648"/>
      <c r="H23" s="648"/>
      <c r="I23" s="648"/>
      <c r="J23" s="648"/>
      <c r="K23" s="648"/>
      <c r="L23" s="648"/>
      <c r="M23" s="648"/>
      <c r="N23" s="651"/>
      <c r="O23" s="652"/>
      <c r="P23" s="653"/>
    </row>
    <row r="24" spans="1:19" ht="15" customHeight="1">
      <c r="L24" s="652"/>
      <c r="M24" s="652"/>
      <c r="N24" s="651"/>
      <c r="O24" s="652"/>
      <c r="P24" s="653"/>
    </row>
    <row r="25" spans="1:19" ht="15" customHeight="1">
      <c r="L25" s="652"/>
      <c r="M25" s="652"/>
      <c r="N25" s="651"/>
      <c r="O25" s="652"/>
      <c r="P25" s="653"/>
    </row>
    <row r="26" spans="1:19" ht="15" customHeight="1">
      <c r="L26" s="652"/>
      <c r="M26" s="652"/>
      <c r="N26" s="651"/>
      <c r="O26" s="652"/>
      <c r="P26" s="653"/>
    </row>
    <row r="27" spans="1:19" ht="15" customHeight="1">
      <c r="L27" s="652"/>
      <c r="M27" s="652"/>
      <c r="N27" s="651"/>
      <c r="O27" s="652"/>
      <c r="P27" s="653"/>
    </row>
    <row r="28" spans="1:19" ht="15" customHeight="1">
      <c r="L28" s="652"/>
      <c r="O28" s="652"/>
    </row>
    <row r="29" spans="1:19" ht="15" customHeight="1">
      <c r="L29" s="652"/>
      <c r="M29" s="652"/>
      <c r="N29" s="651"/>
      <c r="O29" s="652"/>
      <c r="P29" s="653"/>
    </row>
    <row r="30" spans="1:19" ht="15" customHeight="1">
      <c r="L30" s="652"/>
      <c r="M30" s="652"/>
      <c r="N30" s="651"/>
      <c r="O30" s="652"/>
      <c r="P30" s="653"/>
      <c r="S30" s="655"/>
    </row>
    <row r="31" spans="1:19" ht="15" customHeight="1">
      <c r="L31" s="652"/>
      <c r="M31" s="652"/>
      <c r="N31" s="651"/>
      <c r="O31" s="652"/>
      <c r="P31" s="653"/>
      <c r="S31" s="655"/>
    </row>
    <row r="32" spans="1:19" ht="15" customHeight="1">
      <c r="L32" s="652"/>
      <c r="M32" s="652"/>
      <c r="N32" s="651"/>
      <c r="O32" s="652"/>
      <c r="P32" s="653"/>
      <c r="S32" s="655"/>
    </row>
    <row r="33" spans="16:19" ht="15" customHeight="1">
      <c r="S33" s="655"/>
    </row>
    <row r="34" spans="16:19" ht="15" customHeight="1">
      <c r="P34" s="653"/>
      <c r="S34" s="655"/>
    </row>
    <row r="35" spans="16:19" ht="15" customHeight="1">
      <c r="S35" s="655"/>
    </row>
    <row r="36" spans="16:19">
      <c r="S36" s="655"/>
    </row>
    <row r="37" spans="16:19">
      <c r="S37" s="655"/>
    </row>
    <row r="38" spans="16:19">
      <c r="S38" s="655"/>
    </row>
    <row r="39" spans="16:19">
      <c r="S39" s="655"/>
    </row>
  </sheetData>
  <sheetProtection algorithmName="SHA-512" hashValue="wQcrctFR0jqDFbdV5Qf88bRsmhfT2fpK+zafHP+bfes6JPhrteBoOAkvpkzqrCLw5LvWwKyy8/4VuOedzDNH4w==" saltValue="vTdsGy8XWRN2gU4j70N8Fg==" spinCount="100000" sheet="1" objects="1" scenarios="1"/>
  <customSheetViews>
    <customSheetView guid="{06451E13-97D0-44F4-875B-E8D80B2F1CF1}" scale="145" showPageBreaks="1" printArea="1" hiddenRows="1" view="pageBreakPreview">
      <selection activeCell="N12" sqref="N12"/>
      <pageMargins left="0" right="0" top="0" bottom="0" header="0" footer="0"/>
      <printOptions horizontalCentered="1" verticalCentered="1"/>
      <pageSetup paperSize="9" scale="113" orientation="landscape" r:id="rId1"/>
      <headerFooter alignWithMargins="0"/>
    </customSheetView>
  </customSheetViews>
  <phoneticPr fontId="29"/>
  <printOptions horizontalCentered="1" verticalCentered="1"/>
  <pageMargins left="0" right="0" top="0" bottom="0" header="0" footer="0"/>
  <pageSetup paperSize="9" scale="113" orientation="landscape" r:id="rId2"/>
  <headerFooter alignWithMargins="0"/>
  <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pageSetUpPr fitToPage="1"/>
  </sheetPr>
  <dimension ref="A1:FL82"/>
  <sheetViews>
    <sheetView view="pageBreakPreview" zoomScale="55" zoomScaleNormal="80" zoomScaleSheetLayoutView="55" workbookViewId="0">
      <selection activeCell="T1" sqref="T1:FK1048576"/>
    </sheetView>
  </sheetViews>
  <sheetFormatPr defaultColWidth="9.140625" defaultRowHeight="12.75" outlineLevelRow="1" outlineLevelCol="1"/>
  <cols>
    <col min="1" max="1" width="13.5703125" style="144" customWidth="1"/>
    <col min="2" max="2" width="1.85546875" style="144" customWidth="1"/>
    <col min="3" max="3" width="19.7109375" style="1133" customWidth="1"/>
    <col min="4" max="4" width="23.28515625" style="144" customWidth="1"/>
    <col min="5" max="5" width="14" style="144" customWidth="1"/>
    <col min="6" max="18" width="10.85546875" style="144" customWidth="1"/>
    <col min="19" max="19" width="8.42578125" style="144" customWidth="1"/>
    <col min="20" max="20" width="6.140625" style="144" hidden="1" customWidth="1"/>
    <col min="21" max="21" width="21.5703125" style="1133" hidden="1" customWidth="1"/>
    <col min="22" max="22" width="11.42578125" style="144" hidden="1" customWidth="1"/>
    <col min="23" max="23" width="13.85546875" style="144" hidden="1" customWidth="1"/>
    <col min="24" max="26" width="14" style="144" hidden="1" customWidth="1"/>
    <col min="27" max="27" width="14.140625" style="144" hidden="1" customWidth="1"/>
    <col min="28" max="28" width="14" style="144" hidden="1" customWidth="1"/>
    <col min="29" max="30" width="14.140625" style="144" hidden="1" customWidth="1"/>
    <col min="31" max="32" width="15.140625" style="144" hidden="1" customWidth="1"/>
    <col min="33" max="33" width="15.5703125" style="144" hidden="1" customWidth="1"/>
    <col min="34" max="35" width="12.42578125" style="144" hidden="1" customWidth="1"/>
    <col min="36" max="46" width="7.42578125" style="144" hidden="1" customWidth="1"/>
    <col min="47" max="142" width="7.42578125" style="144" hidden="1" customWidth="1" outlineLevel="1"/>
    <col min="143" max="143" width="7.42578125" style="144" hidden="1" customWidth="1"/>
    <col min="144" max="167" width="0" style="144" hidden="1" customWidth="1"/>
    <col min="168" max="16384" width="9.140625" style="144"/>
  </cols>
  <sheetData>
    <row r="1" spans="1:44" ht="67.5" customHeight="1">
      <c r="A1" s="1131"/>
      <c r="B1" s="1131"/>
      <c r="C1" s="1131"/>
      <c r="D1" s="1131"/>
      <c r="E1" s="1131"/>
      <c r="F1" s="1131"/>
      <c r="G1" s="1131"/>
      <c r="H1" s="1131"/>
      <c r="I1" s="1131"/>
      <c r="J1" s="1131"/>
      <c r="K1" s="1131"/>
      <c r="L1" s="1131"/>
      <c r="M1" s="1131"/>
      <c r="N1" s="1131"/>
      <c r="O1" s="1131"/>
      <c r="P1" s="1131"/>
      <c r="Q1" s="1131"/>
      <c r="R1" s="1131"/>
      <c r="S1" s="1131"/>
    </row>
    <row r="2" spans="1:44" ht="19.5" customHeight="1">
      <c r="A2" s="1134"/>
      <c r="B2" s="1134"/>
      <c r="C2" s="1134"/>
      <c r="D2" s="1134"/>
      <c r="E2" s="1134"/>
      <c r="F2" s="1131"/>
      <c r="G2" s="1131"/>
      <c r="H2" s="1131"/>
      <c r="I2" s="1131"/>
      <c r="J2" s="1131"/>
      <c r="K2" s="1131"/>
      <c r="L2" s="1131"/>
      <c r="M2" s="1131"/>
      <c r="N2" s="1131"/>
      <c r="O2" s="1131"/>
      <c r="P2" s="1131"/>
      <c r="Q2" s="1131"/>
      <c r="R2" s="1131"/>
      <c r="S2" s="1131"/>
    </row>
    <row r="3" spans="1:44" ht="36.75" customHeight="1">
      <c r="A3" s="1131"/>
      <c r="B3" s="1131"/>
      <c r="C3" s="1131"/>
      <c r="D3" s="1131"/>
      <c r="E3" s="1131"/>
      <c r="F3" s="1131"/>
      <c r="G3" s="1131"/>
      <c r="H3" s="1131"/>
      <c r="I3" s="1131"/>
      <c r="J3" s="1131"/>
      <c r="K3" s="1131"/>
      <c r="L3" s="1131"/>
      <c r="M3" s="1131"/>
      <c r="N3" s="1131"/>
      <c r="O3" s="1131"/>
      <c r="P3" s="1131"/>
      <c r="Q3" s="1131"/>
      <c r="R3" s="1131"/>
      <c r="S3" s="1131"/>
    </row>
    <row r="4" spans="1:44" ht="25.5" customHeight="1" thickBot="1">
      <c r="A4" s="1131"/>
      <c r="B4" s="477"/>
      <c r="C4" s="1131"/>
      <c r="D4" s="1131"/>
      <c r="E4" s="1131"/>
      <c r="F4" s="1131"/>
      <c r="G4" s="1131"/>
      <c r="H4" s="1135"/>
      <c r="I4" s="1131"/>
      <c r="J4" s="1135"/>
      <c r="K4" s="1135"/>
      <c r="L4" s="1131"/>
      <c r="M4" s="1135"/>
      <c r="N4" s="1135"/>
      <c r="O4" s="1135"/>
      <c r="P4" s="1136"/>
      <c r="Q4" s="1137"/>
      <c r="R4" s="2075" t="s">
        <v>1679</v>
      </c>
      <c r="S4" s="1131"/>
      <c r="U4" s="1133" t="s">
        <v>941</v>
      </c>
      <c r="V4" s="167" t="s">
        <v>1691</v>
      </c>
      <c r="X4" s="146"/>
      <c r="Y4" s="146"/>
      <c r="Z4" s="146"/>
      <c r="AA4" s="146"/>
      <c r="AB4" s="146"/>
      <c r="AC4" s="146"/>
      <c r="AD4" s="146"/>
      <c r="AE4" s="146"/>
      <c r="AF4" s="146"/>
      <c r="AH4" s="146"/>
      <c r="AI4" s="146"/>
      <c r="AJ4" s="114"/>
      <c r="AK4" s="146"/>
      <c r="AL4" s="146"/>
      <c r="AP4" s="146"/>
      <c r="AQ4" s="146"/>
    </row>
    <row r="5" spans="1:44" s="148" customFormat="1" ht="24" customHeight="1">
      <c r="A5" s="1723"/>
      <c r="B5" s="2478"/>
      <c r="C5" s="2478"/>
      <c r="D5" s="2478"/>
      <c r="E5" s="2478"/>
      <c r="F5" s="2453" t="str">
        <f>W5</f>
        <v>2016.3</v>
      </c>
      <c r="G5" s="2206" t="str">
        <f t="shared" ref="G5:P5" si="0">X5</f>
        <v>2017.3</v>
      </c>
      <c r="H5" s="2206" t="str">
        <f t="shared" si="0"/>
        <v>2018.3</v>
      </c>
      <c r="I5" s="2206" t="str">
        <f t="shared" si="0"/>
        <v>2019.3</v>
      </c>
      <c r="J5" s="2206" t="str">
        <f t="shared" si="0"/>
        <v>2020.3</v>
      </c>
      <c r="K5" s="2206" t="str">
        <f t="shared" si="0"/>
        <v>2021.3</v>
      </c>
      <c r="L5" s="2206" t="str">
        <f t="shared" si="0"/>
        <v>2022.3</v>
      </c>
      <c r="M5" s="2206" t="str">
        <f t="shared" si="0"/>
        <v>2023.3</v>
      </c>
      <c r="N5" s="2206" t="str">
        <f t="shared" si="0"/>
        <v>2024.3</v>
      </c>
      <c r="O5" s="2206" t="str">
        <f t="shared" si="0"/>
        <v>2025.3</v>
      </c>
      <c r="P5" s="2306" t="str">
        <f t="shared" si="0"/>
        <v>2026.3</v>
      </c>
      <c r="Q5" s="912" t="s">
        <v>638</v>
      </c>
      <c r="R5" s="913" t="s">
        <v>1753</v>
      </c>
      <c r="S5" s="1723"/>
      <c r="T5" s="149"/>
      <c r="U5" s="2570"/>
      <c r="V5" s="2571"/>
      <c r="W5" s="1726" t="s">
        <v>260</v>
      </c>
      <c r="X5" s="1726" t="s">
        <v>261</v>
      </c>
      <c r="Y5" s="1726" t="s">
        <v>377</v>
      </c>
      <c r="Z5" s="1726" t="s">
        <v>396</v>
      </c>
      <c r="AA5" s="1726" t="s">
        <v>422</v>
      </c>
      <c r="AB5" s="1726" t="s">
        <v>447</v>
      </c>
      <c r="AC5" s="1726" t="s">
        <v>1089</v>
      </c>
      <c r="AD5" s="1727" t="s">
        <v>1430</v>
      </c>
      <c r="AE5" s="1727" t="s">
        <v>1506</v>
      </c>
      <c r="AF5" s="1728" t="s">
        <v>1626</v>
      </c>
      <c r="AG5" s="175" t="s">
        <v>1628</v>
      </c>
      <c r="AH5" s="173" t="s">
        <v>155</v>
      </c>
      <c r="AI5" s="174" t="s">
        <v>83</v>
      </c>
      <c r="AJ5" s="114"/>
    </row>
    <row r="6" spans="1:44" s="148" customFormat="1" ht="18.95" customHeight="1" thickBot="1">
      <c r="A6" s="1723"/>
      <c r="B6" s="2479"/>
      <c r="C6" s="2478"/>
      <c r="D6" s="2479"/>
      <c r="E6" s="2479"/>
      <c r="F6" s="2207"/>
      <c r="G6" s="2207"/>
      <c r="H6" s="2207"/>
      <c r="I6" s="2207"/>
      <c r="J6" s="2207"/>
      <c r="K6" s="2207"/>
      <c r="L6" s="2207"/>
      <c r="M6" s="2207"/>
      <c r="N6" s="2207"/>
      <c r="O6" s="2207"/>
      <c r="P6" s="2450"/>
      <c r="Q6" s="646" t="s">
        <v>1151</v>
      </c>
      <c r="R6" s="647" t="s">
        <v>1152</v>
      </c>
      <c r="S6" s="1723"/>
      <c r="T6" s="149"/>
      <c r="U6" s="2460"/>
      <c r="V6" s="2544"/>
      <c r="W6" s="154"/>
      <c r="X6" s="154"/>
      <c r="Y6" s="154"/>
      <c r="Z6" s="154"/>
      <c r="AA6" s="154"/>
      <c r="AB6" s="154"/>
      <c r="AC6" s="154"/>
      <c r="AD6" s="153"/>
      <c r="AE6" s="153"/>
      <c r="AF6" s="177"/>
      <c r="AG6" s="178"/>
      <c r="AH6" s="152" t="s">
        <v>1153</v>
      </c>
      <c r="AI6" s="73" t="s">
        <v>1154</v>
      </c>
      <c r="AJ6" s="114"/>
    </row>
    <row r="7" spans="1:44" ht="17.100000000000001" customHeight="1" thickTop="1">
      <c r="A7" s="1131"/>
      <c r="B7" s="1722"/>
      <c r="C7" s="2576" t="s">
        <v>1220</v>
      </c>
      <c r="D7" s="2575" t="s">
        <v>934</v>
      </c>
      <c r="E7" s="2575"/>
      <c r="F7" s="1718">
        <f t="shared" ref="F7:P8" si="1">IF(OR(W7="-",W7=""),"-",ROUNDDOWN(W7,-6)/1000000)</f>
        <v>4670</v>
      </c>
      <c r="G7" s="1718">
        <f t="shared" si="1"/>
        <v>4512</v>
      </c>
      <c r="H7" s="1718">
        <f t="shared" si="1"/>
        <v>5243</v>
      </c>
      <c r="I7" s="1718">
        <f t="shared" si="1"/>
        <v>4913</v>
      </c>
      <c r="J7" s="1718">
        <f t="shared" si="1"/>
        <v>4703</v>
      </c>
      <c r="K7" s="1718">
        <f t="shared" si="1"/>
        <v>4146</v>
      </c>
      <c r="L7" s="1718">
        <f t="shared" si="1"/>
        <v>5355</v>
      </c>
      <c r="M7" s="1718">
        <f t="shared" si="1"/>
        <v>5059</v>
      </c>
      <c r="N7" s="1718">
        <f t="shared" si="1"/>
        <v>5348</v>
      </c>
      <c r="O7" s="1718">
        <f t="shared" si="1"/>
        <v>5364</v>
      </c>
      <c r="P7" s="1718">
        <f t="shared" si="1"/>
        <v>5960</v>
      </c>
      <c r="Q7" s="1717">
        <f t="shared" ref="Q7:R15" si="2">AH7</f>
        <v>11.117864987810687</v>
      </c>
      <c r="R7" s="1717">
        <f t="shared" si="2"/>
        <v>2.4694564513797923</v>
      </c>
      <c r="S7" s="1131"/>
      <c r="U7" s="2581" t="s">
        <v>1220</v>
      </c>
      <c r="V7" s="249" t="s">
        <v>69</v>
      </c>
      <c r="W7" s="7">
        <v>4670585050</v>
      </c>
      <c r="X7" s="7">
        <v>4512374764</v>
      </c>
      <c r="Y7" s="189">
        <v>5243574205</v>
      </c>
      <c r="Z7" s="7">
        <v>4913294078</v>
      </c>
      <c r="AA7" s="189">
        <v>4703287116</v>
      </c>
      <c r="AB7" s="189">
        <v>4146469525</v>
      </c>
      <c r="AC7" s="250">
        <v>5355778605</v>
      </c>
      <c r="AD7" s="248">
        <v>5059295883</v>
      </c>
      <c r="AE7" s="250">
        <v>5348179972</v>
      </c>
      <c r="AF7" s="190">
        <v>5364530534</v>
      </c>
      <c r="AG7" s="251">
        <v>5960951796</v>
      </c>
      <c r="AH7" s="193">
        <f>IF(OR(AF7&lt;0,AG7&lt;0),"-",(AG7/AF7-1)*100)</f>
        <v>11.117864987810687</v>
      </c>
      <c r="AI7" s="252">
        <f>IF(ISERROR(((AG7/W7)^(1/10)-1)*100),"-",((AG7/W7)^(1/10)-1)*100)</f>
        <v>2.4694564513797923</v>
      </c>
      <c r="AJ7" s="114"/>
    </row>
    <row r="8" spans="1:44" ht="17.100000000000001" customHeight="1">
      <c r="A8" s="1131"/>
      <c r="B8" s="1721"/>
      <c r="C8" s="2573"/>
      <c r="D8" s="2535" t="s">
        <v>935</v>
      </c>
      <c r="E8" s="2535"/>
      <c r="F8" s="1472">
        <f t="shared" si="1"/>
        <v>171</v>
      </c>
      <c r="G8" s="1472">
        <f t="shared" si="1"/>
        <v>114</v>
      </c>
      <c r="H8" s="1472">
        <f t="shared" si="1"/>
        <v>604</v>
      </c>
      <c r="I8" s="1472">
        <f t="shared" si="1"/>
        <v>481</v>
      </c>
      <c r="J8" s="1472">
        <f t="shared" si="1"/>
        <v>334</v>
      </c>
      <c r="K8" s="1472">
        <f t="shared" si="1"/>
        <v>391</v>
      </c>
      <c r="L8" s="1472">
        <f t="shared" si="1"/>
        <v>930</v>
      </c>
      <c r="M8" s="1472">
        <f t="shared" si="1"/>
        <v>532</v>
      </c>
      <c r="N8" s="1472">
        <f t="shared" si="1"/>
        <v>477</v>
      </c>
      <c r="O8" s="1472">
        <f t="shared" si="1"/>
        <v>473</v>
      </c>
      <c r="P8" s="1472">
        <f t="shared" si="1"/>
        <v>301</v>
      </c>
      <c r="Q8" s="1125">
        <f t="shared" si="2"/>
        <v>-36.28485167253158</v>
      </c>
      <c r="R8" s="1125">
        <f t="shared" si="2"/>
        <v>5.8261223476148594</v>
      </c>
      <c r="S8" s="1131"/>
      <c r="U8" s="2582"/>
      <c r="V8" s="249" t="s">
        <v>144</v>
      </c>
      <c r="W8" s="7">
        <v>171188914</v>
      </c>
      <c r="X8" s="7">
        <v>114992209</v>
      </c>
      <c r="Y8" s="189">
        <v>604717232</v>
      </c>
      <c r="Z8" s="7">
        <v>481066053</v>
      </c>
      <c r="AA8" s="189">
        <v>334906514</v>
      </c>
      <c r="AB8" s="189">
        <v>391695760</v>
      </c>
      <c r="AC8" s="17">
        <v>930884698</v>
      </c>
      <c r="AD8" s="248">
        <v>532352247</v>
      </c>
      <c r="AE8" s="17">
        <v>477846597</v>
      </c>
      <c r="AF8" s="190">
        <v>473327535</v>
      </c>
      <c r="AG8" s="251">
        <v>301581341</v>
      </c>
      <c r="AH8" s="193">
        <f>IF(OR(AF8&lt;0,AG8&lt;0),"-",(AG8/AF8-1)*100)</f>
        <v>-36.28485167253158</v>
      </c>
      <c r="AI8" s="252">
        <f>IF(OR(AND(W8&gt;0,AG8&lt;0),AND(W8&lt;0,AG8&gt;0),AND(W8&lt;0,AG8&lt;0)),"-",IF(ISERROR(((AG8/W8)^(1/10)-1)*100),"-",((AG8/W8)^(1/10)-1)*100))</f>
        <v>5.8261223476148594</v>
      </c>
      <c r="AJ8" s="114"/>
    </row>
    <row r="9" spans="1:44" ht="17.100000000000001" customHeight="1">
      <c r="A9" s="1131"/>
      <c r="B9" s="1096"/>
      <c r="C9" s="2574"/>
      <c r="D9" s="2536" t="s">
        <v>936</v>
      </c>
      <c r="E9" s="2536"/>
      <c r="F9" s="1127">
        <f t="shared" ref="F9:P9" si="3">IF(OR(W9="-",W9=""),"-",W9)</f>
        <v>3.6652563258643585</v>
      </c>
      <c r="G9" s="1127">
        <f t="shared" si="3"/>
        <v>2.5483745259240171</v>
      </c>
      <c r="H9" s="1127">
        <f t="shared" si="3"/>
        <v>11.532538843893409</v>
      </c>
      <c r="I9" s="1127">
        <f t="shared" si="3"/>
        <v>9.7911105128847122</v>
      </c>
      <c r="J9" s="1127">
        <f t="shared" si="3"/>
        <v>7.1206903967374124</v>
      </c>
      <c r="K9" s="1127">
        <f t="shared" si="3"/>
        <v>9.4464883351578468</v>
      </c>
      <c r="L9" s="1127">
        <f t="shared" si="3"/>
        <v>17.380940599952226</v>
      </c>
      <c r="M9" s="1127">
        <f t="shared" si="3"/>
        <v>10.522259605111932</v>
      </c>
      <c r="N9" s="1127">
        <f>IF(OR(AE9="-",AE9=""),"-",AE9)</f>
        <v>8.9347516258190716</v>
      </c>
      <c r="O9" s="1127">
        <f t="shared" si="3"/>
        <v>8.823279725972009</v>
      </c>
      <c r="P9" s="1127">
        <f t="shared" si="3"/>
        <v>5.0592816603947588</v>
      </c>
      <c r="Q9" s="1127" t="str">
        <f>AH9</f>
        <v>-</v>
      </c>
      <c r="R9" s="1127" t="str">
        <f t="shared" si="2"/>
        <v>-</v>
      </c>
      <c r="S9" s="1131"/>
      <c r="U9" s="2583"/>
      <c r="V9" s="253" t="s">
        <v>70</v>
      </c>
      <c r="W9" s="156">
        <f>IF(OR(W8="-",W7="-"),"-",W8/W7*100)</f>
        <v>3.6652563258643585</v>
      </c>
      <c r="X9" s="156">
        <f>IF(OR(X8="-",X7="-"),"-",X8/X7*100)</f>
        <v>2.5483745259240171</v>
      </c>
      <c r="Y9" s="156">
        <f>IF(OR(Y8="-",Y7="-"),"-",Y8/Y7*100)</f>
        <v>11.532538843893409</v>
      </c>
      <c r="Z9" s="156">
        <f>IF(OR(Z8="-",Z7="-"),"-",Z8/Z7*100)</f>
        <v>9.7911105128847122</v>
      </c>
      <c r="AA9" s="156">
        <f>IF(OR(AA8="-",AA7="-"),"-",AA8/AA7*100)</f>
        <v>7.1206903967374124</v>
      </c>
      <c r="AB9" s="156">
        <f t="shared" ref="AB9:AG9" si="4">IF(OR(AB8="-",AB7="-"),"-",AB8/AB7*100)</f>
        <v>9.4464883351578468</v>
      </c>
      <c r="AC9" s="156">
        <f t="shared" si="4"/>
        <v>17.380940599952226</v>
      </c>
      <c r="AD9" s="157">
        <f t="shared" si="4"/>
        <v>10.522259605111932</v>
      </c>
      <c r="AE9" s="157">
        <f t="shared" si="4"/>
        <v>8.9347516258190716</v>
      </c>
      <c r="AF9" s="254">
        <f t="shared" si="4"/>
        <v>8.823279725972009</v>
      </c>
      <c r="AG9" s="255">
        <f t="shared" si="4"/>
        <v>5.0592816603947588</v>
      </c>
      <c r="AH9" s="194" t="s">
        <v>1155</v>
      </c>
      <c r="AI9" s="256" t="s">
        <v>68</v>
      </c>
    </row>
    <row r="10" spans="1:44" ht="17.100000000000001" customHeight="1">
      <c r="A10" s="1131"/>
      <c r="B10" s="1722"/>
      <c r="C10" s="2572" t="s">
        <v>1242</v>
      </c>
      <c r="D10" s="2575" t="s">
        <v>934</v>
      </c>
      <c r="E10" s="2575"/>
      <c r="F10" s="1718" t="str">
        <f t="shared" ref="F10:P11" si="5">IF(OR(W10="-",W10=""),"-",ROUNDDOWN(W10,-6)/1000000)</f>
        <v>-</v>
      </c>
      <c r="G10" s="1718" t="str">
        <f t="shared" si="5"/>
        <v>-</v>
      </c>
      <c r="H10" s="1718" t="str">
        <f t="shared" si="5"/>
        <v>-</v>
      </c>
      <c r="I10" s="1718" t="str">
        <f t="shared" si="5"/>
        <v>-</v>
      </c>
      <c r="J10" s="1718">
        <f t="shared" si="5"/>
        <v>460</v>
      </c>
      <c r="K10" s="1718">
        <f t="shared" si="5"/>
        <v>685</v>
      </c>
      <c r="L10" s="1718">
        <f t="shared" si="5"/>
        <v>1885</v>
      </c>
      <c r="M10" s="1718">
        <f t="shared" si="5"/>
        <v>3925</v>
      </c>
      <c r="N10" s="1718">
        <f t="shared" si="5"/>
        <v>5181</v>
      </c>
      <c r="O10" s="1718">
        <f t="shared" si="5"/>
        <v>3046</v>
      </c>
      <c r="P10" s="1718">
        <f t="shared" si="5"/>
        <v>4335</v>
      </c>
      <c r="Q10" s="1717">
        <f t="shared" ref="Q10:Q15" si="6">AH10</f>
        <v>42.323039580456708</v>
      </c>
      <c r="R10" s="1717">
        <f t="shared" si="2"/>
        <v>45.318758875745168</v>
      </c>
      <c r="S10" s="1131"/>
      <c r="U10" s="2577" t="s">
        <v>1177</v>
      </c>
      <c r="V10" s="249" t="s">
        <v>69</v>
      </c>
      <c r="W10" s="7" t="s">
        <v>340</v>
      </c>
      <c r="X10" s="7" t="s">
        <v>340</v>
      </c>
      <c r="Y10" s="7" t="s">
        <v>340</v>
      </c>
      <c r="Z10" s="7" t="s">
        <v>340</v>
      </c>
      <c r="AA10" s="7">
        <v>460359420</v>
      </c>
      <c r="AB10" s="7">
        <v>685166386</v>
      </c>
      <c r="AC10" s="16">
        <v>1885475129</v>
      </c>
      <c r="AD10" s="247">
        <v>3925742491</v>
      </c>
      <c r="AE10" s="1729">
        <v>5181627825</v>
      </c>
      <c r="AF10" s="1730">
        <v>3046154340</v>
      </c>
      <c r="AG10" s="257">
        <v>4335379447</v>
      </c>
      <c r="AH10" s="193">
        <f>IF(OR(AF10&lt;0,AG10&lt;0),"-",(AG10/AF10-1)*100)</f>
        <v>42.323039580456708</v>
      </c>
      <c r="AI10" s="252">
        <f>IF(ISERROR(((AG10/AA10)^(1/6)-1)*100),"-",((AG10/AA10)^(1/6)-1)*100)</f>
        <v>45.318758875745168</v>
      </c>
      <c r="AJ10" s="2010" t="s">
        <v>1487</v>
      </c>
      <c r="AO10" s="167" t="s">
        <v>1651</v>
      </c>
      <c r="AR10" s="2129" t="s">
        <v>1655</v>
      </c>
    </row>
    <row r="11" spans="1:44" ht="17.100000000000001" customHeight="1">
      <c r="A11" s="1131"/>
      <c r="B11" s="1721"/>
      <c r="C11" s="2573"/>
      <c r="D11" s="2580" t="s">
        <v>1297</v>
      </c>
      <c r="E11" s="2580"/>
      <c r="F11" s="1472" t="str">
        <f t="shared" si="5"/>
        <v>-</v>
      </c>
      <c r="G11" s="1472" t="str">
        <f t="shared" si="5"/>
        <v>-</v>
      </c>
      <c r="H11" s="1472" t="str">
        <f t="shared" si="5"/>
        <v>-</v>
      </c>
      <c r="I11" s="1472" t="str">
        <f t="shared" si="5"/>
        <v>-</v>
      </c>
      <c r="J11" s="1472">
        <f t="shared" si="5"/>
        <v>-25</v>
      </c>
      <c r="K11" s="1472">
        <f t="shared" si="5"/>
        <v>-15</v>
      </c>
      <c r="L11" s="1472">
        <f t="shared" si="5"/>
        <v>211</v>
      </c>
      <c r="M11" s="1472">
        <f t="shared" si="5"/>
        <v>801</v>
      </c>
      <c r="N11" s="1472">
        <f t="shared" si="5"/>
        <v>686</v>
      </c>
      <c r="O11" s="1472">
        <f t="shared" si="5"/>
        <v>69</v>
      </c>
      <c r="P11" s="1472">
        <f t="shared" si="5"/>
        <v>372</v>
      </c>
      <c r="Q11" s="1125">
        <f t="shared" si="6"/>
        <v>435.95370786598409</v>
      </c>
      <c r="R11" s="1125" t="str">
        <f>AI11</f>
        <v>-</v>
      </c>
      <c r="S11" s="1131"/>
      <c r="U11" s="2578"/>
      <c r="V11" s="249" t="s">
        <v>144</v>
      </c>
      <c r="W11" s="7" t="s">
        <v>340</v>
      </c>
      <c r="X11" s="7" t="s">
        <v>340</v>
      </c>
      <c r="Y11" s="7" t="s">
        <v>340</v>
      </c>
      <c r="Z11" s="7" t="s">
        <v>340</v>
      </c>
      <c r="AA11" s="7">
        <v>-25314045</v>
      </c>
      <c r="AB11" s="7">
        <v>-15377644</v>
      </c>
      <c r="AC11" s="16">
        <v>211735554</v>
      </c>
      <c r="AD11" s="247">
        <v>801440993</v>
      </c>
      <c r="AE11" s="16">
        <v>686678399</v>
      </c>
      <c r="AF11" s="201">
        <v>69437542</v>
      </c>
      <c r="AG11" s="257">
        <v>372153081</v>
      </c>
      <c r="AH11" s="193">
        <f>IF(OR(AF11&lt;0,AG11&lt;0),"-",(AG11/AF11-1)*100)</f>
        <v>435.95370786598409</v>
      </c>
      <c r="AI11" s="252" t="str">
        <f>IF(OR(AND(AA11&gt;0,AG11&lt;0),AND(AA11&lt;0,AG11&gt;0),AND(AA11&lt;0,AG11&lt;0)),"-",IF(ISERROR(((AG11/AA11)^(1/6)-1)*100),"-",((AG11/AA11)^(1/6)-1)*100))</f>
        <v>-</v>
      </c>
      <c r="AJ11" s="2010" t="s">
        <v>1487</v>
      </c>
      <c r="AO11" s="167" t="s">
        <v>1651</v>
      </c>
      <c r="AR11" s="2129" t="s">
        <v>1656</v>
      </c>
    </row>
    <row r="12" spans="1:44" ht="17.100000000000001" customHeight="1">
      <c r="A12" s="1131"/>
      <c r="B12" s="1096"/>
      <c r="C12" s="2574"/>
      <c r="D12" s="2536" t="s">
        <v>936</v>
      </c>
      <c r="E12" s="2536"/>
      <c r="F12" s="1127" t="str">
        <f t="shared" ref="F12:P12" si="7">IF(OR(W12="-",W12=""),"-",W12)</f>
        <v>-</v>
      </c>
      <c r="G12" s="1127" t="str">
        <f t="shared" si="7"/>
        <v>-</v>
      </c>
      <c r="H12" s="1127" t="str">
        <f t="shared" si="7"/>
        <v>-</v>
      </c>
      <c r="I12" s="1127" t="str">
        <f t="shared" si="7"/>
        <v>-</v>
      </c>
      <c r="J12" s="1127">
        <f t="shared" si="7"/>
        <v>-5.4987568191827156</v>
      </c>
      <c r="K12" s="1127">
        <f t="shared" si="7"/>
        <v>-2.2443663778917493</v>
      </c>
      <c r="L12" s="1127">
        <f t="shared" si="7"/>
        <v>11.22982481939702</v>
      </c>
      <c r="M12" s="1127">
        <f t="shared" si="7"/>
        <v>20.415016900302337</v>
      </c>
      <c r="N12" s="1127">
        <f t="shared" si="7"/>
        <v>13.252175227386193</v>
      </c>
      <c r="O12" s="1127">
        <f t="shared" si="7"/>
        <v>2.2795148981190496</v>
      </c>
      <c r="P12" s="1127">
        <f t="shared" si="7"/>
        <v>8.584094784541243</v>
      </c>
      <c r="Q12" s="1127" t="str">
        <f t="shared" si="6"/>
        <v>-</v>
      </c>
      <c r="R12" s="1127" t="str">
        <f t="shared" si="2"/>
        <v>-</v>
      </c>
      <c r="S12" s="1131"/>
      <c r="U12" s="2579"/>
      <c r="V12" s="253" t="s">
        <v>70</v>
      </c>
      <c r="W12" s="156" t="str">
        <f t="shared" ref="W12:AF12" si="8">IF(OR(W11="-",W10="-"),"-",W11/W10*100)</f>
        <v>-</v>
      </c>
      <c r="X12" s="156" t="str">
        <f t="shared" si="8"/>
        <v>-</v>
      </c>
      <c r="Y12" s="156" t="str">
        <f t="shared" si="8"/>
        <v>-</v>
      </c>
      <c r="Z12" s="156" t="str">
        <f t="shared" si="8"/>
        <v>-</v>
      </c>
      <c r="AA12" s="156">
        <f t="shared" si="8"/>
        <v>-5.4987568191827156</v>
      </c>
      <c r="AB12" s="156">
        <f t="shared" si="8"/>
        <v>-2.2443663778917493</v>
      </c>
      <c r="AC12" s="156">
        <f t="shared" si="8"/>
        <v>11.22982481939702</v>
      </c>
      <c r="AD12" s="157">
        <f t="shared" si="8"/>
        <v>20.415016900302337</v>
      </c>
      <c r="AE12" s="157">
        <f t="shared" si="8"/>
        <v>13.252175227386193</v>
      </c>
      <c r="AF12" s="254">
        <f t="shared" si="8"/>
        <v>2.2795148981190496</v>
      </c>
      <c r="AG12" s="255">
        <f>IF(OR(AG11="-",AG10="-"),"-",AG11/AG10*100)</f>
        <v>8.584094784541243</v>
      </c>
      <c r="AH12" s="194" t="s">
        <v>68</v>
      </c>
      <c r="AI12" s="256" t="s">
        <v>1156</v>
      </c>
      <c r="AR12" s="167" t="s">
        <v>1652</v>
      </c>
    </row>
    <row r="13" spans="1:44" ht="17.100000000000001" customHeight="1">
      <c r="A13" s="1131"/>
      <c r="B13" s="1722"/>
      <c r="C13" s="2576" t="s">
        <v>1221</v>
      </c>
      <c r="D13" s="2575" t="s">
        <v>934</v>
      </c>
      <c r="E13" s="2575"/>
      <c r="F13" s="1472">
        <f t="shared" ref="F13:P14" si="9">IF(OR(W13="-",W13=""),"-",ROUNDDOWN(W13,-6)/1000000)</f>
        <v>4670</v>
      </c>
      <c r="G13" s="1472">
        <f t="shared" si="9"/>
        <v>4512</v>
      </c>
      <c r="H13" s="1472">
        <f t="shared" si="9"/>
        <v>5243</v>
      </c>
      <c r="I13" s="1472">
        <f t="shared" si="9"/>
        <v>4913</v>
      </c>
      <c r="J13" s="1472">
        <f t="shared" si="9"/>
        <v>5163</v>
      </c>
      <c r="K13" s="1472">
        <f t="shared" si="9"/>
        <v>4831</v>
      </c>
      <c r="L13" s="1472">
        <f t="shared" si="9"/>
        <v>7241</v>
      </c>
      <c r="M13" s="1472">
        <f t="shared" si="9"/>
        <v>8985</v>
      </c>
      <c r="N13" s="1472">
        <f t="shared" si="9"/>
        <v>10529</v>
      </c>
      <c r="O13" s="1472">
        <f t="shared" si="9"/>
        <v>8410</v>
      </c>
      <c r="P13" s="1472">
        <f t="shared" si="9"/>
        <v>10296</v>
      </c>
      <c r="Q13" s="1125">
        <f t="shared" si="6"/>
        <v>22.419653063320787</v>
      </c>
      <c r="R13" s="1125">
        <f t="shared" si="2"/>
        <v>8.2258790738882759</v>
      </c>
      <c r="S13" s="1131"/>
      <c r="U13" s="2564" t="s">
        <v>1165</v>
      </c>
      <c r="V13" s="1731" t="s">
        <v>69</v>
      </c>
      <c r="W13" s="1732">
        <f>IF(AND(W10="-",W7="-"),"-",SUM(W10,W7))</f>
        <v>4670585050</v>
      </c>
      <c r="X13" s="1732">
        <f t="shared" ref="X13:AG14" si="10">IF(AND(X10="-",X7="-"),"-",SUM(X10,X7))</f>
        <v>4512374764</v>
      </c>
      <c r="Y13" s="1732">
        <f t="shared" si="10"/>
        <v>5243574205</v>
      </c>
      <c r="Z13" s="1732">
        <f t="shared" si="10"/>
        <v>4913294078</v>
      </c>
      <c r="AA13" s="1732">
        <f t="shared" si="10"/>
        <v>5163646536</v>
      </c>
      <c r="AB13" s="1732">
        <f t="shared" si="10"/>
        <v>4831635911</v>
      </c>
      <c r="AC13" s="1732">
        <f t="shared" si="10"/>
        <v>7241253734</v>
      </c>
      <c r="AD13" s="1732">
        <f t="shared" si="10"/>
        <v>8985038374</v>
      </c>
      <c r="AE13" s="1732">
        <f t="shared" si="10"/>
        <v>10529807797</v>
      </c>
      <c r="AF13" s="1730">
        <f t="shared" si="10"/>
        <v>8410684874</v>
      </c>
      <c r="AG13" s="1733">
        <f t="shared" si="10"/>
        <v>10296331243</v>
      </c>
      <c r="AH13" s="1734">
        <f>IF(OR(AF13&lt;0,AG13&lt;0),"-",(AG13/AF13-1)*100)</f>
        <v>22.419653063320787</v>
      </c>
      <c r="AI13" s="1735">
        <f>IF(ISERROR(((AG13/W13)^(1/10)-1)*100),"-",((AG13/W13)^(1/10)-1)*100)</f>
        <v>8.2258790738882759</v>
      </c>
      <c r="AJ13" s="114"/>
      <c r="AR13" s="167" t="s">
        <v>1657</v>
      </c>
    </row>
    <row r="14" spans="1:44" ht="17.100000000000001" customHeight="1">
      <c r="A14" s="1131"/>
      <c r="B14" s="1721"/>
      <c r="C14" s="2573"/>
      <c r="D14" s="2535" t="s">
        <v>935</v>
      </c>
      <c r="E14" s="2535"/>
      <c r="F14" s="1472">
        <f t="shared" si="9"/>
        <v>171</v>
      </c>
      <c r="G14" s="1472">
        <f t="shared" si="9"/>
        <v>114</v>
      </c>
      <c r="H14" s="1472">
        <f t="shared" si="9"/>
        <v>604</v>
      </c>
      <c r="I14" s="1472">
        <f t="shared" si="9"/>
        <v>481</v>
      </c>
      <c r="J14" s="1472">
        <f t="shared" si="9"/>
        <v>309</v>
      </c>
      <c r="K14" s="1472">
        <f t="shared" si="9"/>
        <v>376</v>
      </c>
      <c r="L14" s="1472">
        <f t="shared" si="9"/>
        <v>1142</v>
      </c>
      <c r="M14" s="1472">
        <f t="shared" si="9"/>
        <v>1333</v>
      </c>
      <c r="N14" s="1472">
        <f t="shared" si="9"/>
        <v>1164</v>
      </c>
      <c r="O14" s="1472">
        <f t="shared" si="9"/>
        <v>542</v>
      </c>
      <c r="P14" s="1472">
        <f t="shared" si="9"/>
        <v>673</v>
      </c>
      <c r="Q14" s="1125">
        <f t="shared" si="6"/>
        <v>24.130024305156251</v>
      </c>
      <c r="R14" s="1125">
        <f t="shared" si="2"/>
        <v>14.683598065883396</v>
      </c>
      <c r="S14" s="1131"/>
      <c r="U14" s="2565"/>
      <c r="V14" s="258" t="s">
        <v>144</v>
      </c>
      <c r="W14" s="6">
        <f>IF(AND(W11="-",W8="-"),"-",SUM(W11,W8))</f>
        <v>171188914</v>
      </c>
      <c r="X14" s="6">
        <f t="shared" si="10"/>
        <v>114992209</v>
      </c>
      <c r="Y14" s="6">
        <f t="shared" si="10"/>
        <v>604717232</v>
      </c>
      <c r="Z14" s="6">
        <f t="shared" si="10"/>
        <v>481066053</v>
      </c>
      <c r="AA14" s="6">
        <f t="shared" si="10"/>
        <v>309592469</v>
      </c>
      <c r="AB14" s="6">
        <f t="shared" si="10"/>
        <v>376318116</v>
      </c>
      <c r="AC14" s="6">
        <f t="shared" si="10"/>
        <v>1142620252</v>
      </c>
      <c r="AD14" s="6">
        <f t="shared" si="10"/>
        <v>1333793240</v>
      </c>
      <c r="AE14" s="6">
        <f t="shared" si="10"/>
        <v>1164524996</v>
      </c>
      <c r="AF14" s="201">
        <f t="shared" si="10"/>
        <v>542765077</v>
      </c>
      <c r="AG14" s="257">
        <f t="shared" si="10"/>
        <v>673734422</v>
      </c>
      <c r="AH14" s="193">
        <f>IF(OR(AF14&lt;0,AG14&lt;0),"-",(AG14/AF14-1)*100)</f>
        <v>24.130024305156251</v>
      </c>
      <c r="AI14" s="192">
        <f>IF(OR(AND(W14&gt;0,AG14&lt;0),AND(W14&lt;0,AG14&gt;0),AND(W14&lt;0,AG14&lt;0)),"-",IF(ISERROR(((AG14/W14)^(1/10)-1)*100),"-",((AG14/W14)^(1/10)-1)*100))</f>
        <v>14.683598065883396</v>
      </c>
      <c r="AJ14" s="114"/>
    </row>
    <row r="15" spans="1:44" ht="17.100000000000001" customHeight="1">
      <c r="A15" s="1131"/>
      <c r="B15" s="1096"/>
      <c r="C15" s="2574"/>
      <c r="D15" s="2536" t="s">
        <v>936</v>
      </c>
      <c r="E15" s="2536"/>
      <c r="F15" s="1127">
        <f t="shared" ref="F15:P15" si="11">IF(OR(W15="-",W15=""),"-",W15)</f>
        <v>3.6652563258643585</v>
      </c>
      <c r="G15" s="1127">
        <f t="shared" si="11"/>
        <v>2.5483745259240171</v>
      </c>
      <c r="H15" s="1127">
        <f t="shared" si="11"/>
        <v>11.532538843893409</v>
      </c>
      <c r="I15" s="1127">
        <f t="shared" si="11"/>
        <v>9.7911105128847122</v>
      </c>
      <c r="J15" s="1127">
        <f t="shared" si="11"/>
        <v>5.995616989690868</v>
      </c>
      <c r="K15" s="1127">
        <f t="shared" si="11"/>
        <v>7.7886273496570997</v>
      </c>
      <c r="L15" s="1127">
        <f t="shared" si="11"/>
        <v>15.779315212157707</v>
      </c>
      <c r="M15" s="1127">
        <f t="shared" si="11"/>
        <v>14.844602599134097</v>
      </c>
      <c r="N15" s="1127">
        <f t="shared" si="11"/>
        <v>11.059318635728371</v>
      </c>
      <c r="O15" s="1127">
        <f t="shared" si="11"/>
        <v>6.4532803824080123</v>
      </c>
      <c r="P15" s="1127">
        <f t="shared" si="11"/>
        <v>6.5434416016679817</v>
      </c>
      <c r="Q15" s="1127" t="str">
        <f t="shared" si="6"/>
        <v>-</v>
      </c>
      <c r="R15" s="1127" t="str">
        <f t="shared" si="2"/>
        <v>-</v>
      </c>
      <c r="S15" s="1131"/>
      <c r="U15" s="2566"/>
      <c r="V15" s="259" t="s">
        <v>70</v>
      </c>
      <c r="W15" s="260">
        <f t="shared" ref="W15:AG15" si="12">IF(OR(W14="-",W13="-"),"-",W14/W13*100)</f>
        <v>3.6652563258643585</v>
      </c>
      <c r="X15" s="260">
        <f t="shared" si="12"/>
        <v>2.5483745259240171</v>
      </c>
      <c r="Y15" s="260">
        <f t="shared" si="12"/>
        <v>11.532538843893409</v>
      </c>
      <c r="Z15" s="260">
        <f t="shared" si="12"/>
        <v>9.7911105128847122</v>
      </c>
      <c r="AA15" s="260">
        <f t="shared" si="12"/>
        <v>5.995616989690868</v>
      </c>
      <c r="AB15" s="260">
        <f t="shared" si="12"/>
        <v>7.7886273496570997</v>
      </c>
      <c r="AC15" s="260">
        <f t="shared" si="12"/>
        <v>15.779315212157707</v>
      </c>
      <c r="AD15" s="260">
        <f t="shared" si="12"/>
        <v>14.844602599134097</v>
      </c>
      <c r="AE15" s="260">
        <f t="shared" si="12"/>
        <v>11.059318635728371</v>
      </c>
      <c r="AF15" s="195">
        <f t="shared" si="12"/>
        <v>6.4532803824080123</v>
      </c>
      <c r="AG15" s="255">
        <f t="shared" si="12"/>
        <v>6.5434416016679817</v>
      </c>
      <c r="AH15" s="194" t="s">
        <v>1156</v>
      </c>
      <c r="AI15" s="256" t="s">
        <v>68</v>
      </c>
    </row>
    <row r="16" spans="1:44" ht="14.25" hidden="1" customHeight="1" outlineLevel="1">
      <c r="A16" s="1131"/>
      <c r="B16" s="668"/>
      <c r="C16" s="1480"/>
      <c r="D16" s="1272"/>
      <c r="E16" s="1272"/>
      <c r="F16" s="1221"/>
      <c r="G16" s="1221"/>
      <c r="H16" s="1221"/>
      <c r="I16" s="1221"/>
      <c r="J16" s="1221"/>
      <c r="K16" s="1221"/>
      <c r="L16" s="1221"/>
      <c r="M16" s="1221"/>
      <c r="N16" s="1221"/>
      <c r="O16" s="1221"/>
      <c r="P16" s="1221"/>
      <c r="Q16" s="1221"/>
      <c r="R16" s="1221"/>
      <c r="S16" s="1131"/>
      <c r="U16" s="1481"/>
      <c r="V16" s="9"/>
      <c r="W16" s="170"/>
      <c r="X16" s="170"/>
      <c r="Y16" s="170"/>
      <c r="Z16" s="170"/>
      <c r="AA16" s="170"/>
      <c r="AB16" s="170"/>
      <c r="AC16" s="170"/>
      <c r="AD16" s="170"/>
      <c r="AE16" s="170"/>
      <c r="AF16" s="170"/>
      <c r="AG16" s="170"/>
      <c r="AH16" s="170"/>
      <c r="AI16" s="170"/>
    </row>
    <row r="17" spans="1:44" ht="16.5" hidden="1" customHeight="1" outlineLevel="1" thickBot="1">
      <c r="A17" s="1131"/>
      <c r="B17" s="1723"/>
      <c r="C17" s="1723"/>
      <c r="D17" s="1723"/>
      <c r="E17" s="1723"/>
      <c r="F17" s="1163"/>
      <c r="G17" s="1163"/>
      <c r="H17" s="1163"/>
      <c r="I17" s="1163"/>
      <c r="J17" s="1163"/>
      <c r="K17" s="1163"/>
      <c r="L17" s="1163"/>
      <c r="M17" s="1163"/>
      <c r="N17" s="1163"/>
      <c r="O17" s="1163"/>
      <c r="P17" s="1163"/>
      <c r="Q17" s="1163"/>
      <c r="R17" s="1163"/>
      <c r="S17" s="1131"/>
      <c r="U17" s="1165"/>
      <c r="V17" s="158"/>
      <c r="W17" s="158"/>
      <c r="X17" s="159"/>
      <c r="Y17" s="160"/>
      <c r="Z17" s="159"/>
      <c r="AA17" s="160"/>
      <c r="AB17" s="159"/>
      <c r="AC17" s="160"/>
      <c r="AD17" s="159"/>
      <c r="AE17" s="160"/>
      <c r="AF17" s="159"/>
      <c r="AG17" s="74"/>
      <c r="AH17" s="159"/>
      <c r="AI17" s="160"/>
      <c r="AJ17" s="159"/>
      <c r="AK17" s="160"/>
      <c r="AL17" s="159"/>
      <c r="AN17" s="159"/>
      <c r="AO17" s="160"/>
      <c r="AP17" s="159"/>
      <c r="AQ17" s="160"/>
    </row>
    <row r="18" spans="1:44" s="148" customFormat="1" ht="24" hidden="1" customHeight="1" outlineLevel="1">
      <c r="A18" s="1723"/>
      <c r="B18" s="2478"/>
      <c r="C18" s="2478"/>
      <c r="D18" s="2478"/>
      <c r="E18" s="2478"/>
      <c r="F18" s="2206">
        <v>2012.3</v>
      </c>
      <c r="G18" s="2206">
        <v>2013.3</v>
      </c>
      <c r="H18" s="2206">
        <v>2014.3</v>
      </c>
      <c r="I18" s="2206">
        <v>2015.3</v>
      </c>
      <c r="J18" s="2206">
        <v>2016.3</v>
      </c>
      <c r="K18" s="2206">
        <v>2017.3</v>
      </c>
      <c r="L18" s="2206">
        <v>2018.3</v>
      </c>
      <c r="M18" s="2206">
        <v>2019.3</v>
      </c>
      <c r="N18" s="2206">
        <v>2020.3</v>
      </c>
      <c r="O18" s="2206">
        <v>2021.3</v>
      </c>
      <c r="P18" s="2306">
        <v>2022.3</v>
      </c>
      <c r="Q18" s="912" t="s">
        <v>638</v>
      </c>
      <c r="R18" s="1479" t="s">
        <v>1158</v>
      </c>
      <c r="S18" s="1723"/>
      <c r="T18" s="149"/>
      <c r="U18" s="2570"/>
      <c r="V18" s="2571"/>
      <c r="W18" s="1726" t="s">
        <v>1147</v>
      </c>
      <c r="X18" s="1726" t="s">
        <v>376</v>
      </c>
      <c r="Y18" s="1726" t="s">
        <v>258</v>
      </c>
      <c r="Z18" s="1726" t="s">
        <v>259</v>
      </c>
      <c r="AA18" s="1726" t="s">
        <v>260</v>
      </c>
      <c r="AB18" s="1726" t="s">
        <v>261</v>
      </c>
      <c r="AC18" s="1726" t="s">
        <v>377</v>
      </c>
      <c r="AD18" s="1727" t="s">
        <v>396</v>
      </c>
      <c r="AE18" s="1727" t="s">
        <v>422</v>
      </c>
      <c r="AF18" s="1728" t="s">
        <v>447</v>
      </c>
      <c r="AG18" s="175" t="s">
        <v>1150</v>
      </c>
      <c r="AH18" s="173" t="s">
        <v>155</v>
      </c>
      <c r="AI18" s="174" t="s">
        <v>83</v>
      </c>
      <c r="AJ18" s="114"/>
    </row>
    <row r="19" spans="1:44" s="148" customFormat="1" ht="18.95" hidden="1" customHeight="1" outlineLevel="1" thickBot="1">
      <c r="A19" s="1723"/>
      <c r="B19" s="2479"/>
      <c r="C19" s="2478"/>
      <c r="D19" s="2479"/>
      <c r="E19" s="2479"/>
      <c r="F19" s="2207"/>
      <c r="G19" s="2207"/>
      <c r="H19" s="2207"/>
      <c r="I19" s="2207"/>
      <c r="J19" s="2207"/>
      <c r="K19" s="2207"/>
      <c r="L19" s="2207"/>
      <c r="M19" s="2207"/>
      <c r="N19" s="2207"/>
      <c r="O19" s="2207"/>
      <c r="P19" s="2450"/>
      <c r="Q19" s="646" t="s">
        <v>1151</v>
      </c>
      <c r="R19" s="647" t="s">
        <v>1159</v>
      </c>
      <c r="S19" s="1723"/>
      <c r="T19" s="149"/>
      <c r="U19" s="2460"/>
      <c r="V19" s="2544"/>
      <c r="W19" s="154"/>
      <c r="X19" s="154"/>
      <c r="Y19" s="154"/>
      <c r="Z19" s="154"/>
      <c r="AA19" s="154"/>
      <c r="AB19" s="154"/>
      <c r="AC19" s="154"/>
      <c r="AD19" s="153"/>
      <c r="AE19" s="153"/>
      <c r="AF19" s="177"/>
      <c r="AG19" s="178"/>
      <c r="AH19" s="152" t="s">
        <v>1160</v>
      </c>
      <c r="AI19" s="73" t="s">
        <v>264</v>
      </c>
      <c r="AJ19" s="114"/>
    </row>
    <row r="20" spans="1:44" ht="12" hidden="1" customHeight="1" outlineLevel="1" thickTop="1">
      <c r="A20" s="1131"/>
      <c r="B20" s="1722"/>
      <c r="C20" s="2569" t="s">
        <v>964</v>
      </c>
      <c r="D20" s="2563" t="s">
        <v>940</v>
      </c>
      <c r="E20" s="2563"/>
      <c r="F20" s="1718">
        <f t="shared" ref="F20:P21" si="13">IF(OR(W20="-",W20=""),"-",ROUNDDOWN(W20,-6)/1000000)</f>
        <v>1250</v>
      </c>
      <c r="G20" s="1718">
        <f t="shared" si="13"/>
        <v>1335</v>
      </c>
      <c r="H20" s="1718">
        <f t="shared" si="13"/>
        <v>1498</v>
      </c>
      <c r="I20" s="1718">
        <f t="shared" si="13"/>
        <v>1383</v>
      </c>
      <c r="J20" s="1718">
        <f t="shared" si="13"/>
        <v>636</v>
      </c>
      <c r="K20" s="1718" t="str">
        <f t="shared" si="13"/>
        <v>-</v>
      </c>
      <c r="L20" s="1718" t="str">
        <f t="shared" si="13"/>
        <v>-</v>
      </c>
      <c r="M20" s="1718" t="str">
        <f t="shared" si="13"/>
        <v>-</v>
      </c>
      <c r="N20" s="1718" t="str">
        <f t="shared" si="13"/>
        <v>-</v>
      </c>
      <c r="O20" s="1718" t="str">
        <f t="shared" si="13"/>
        <v>-</v>
      </c>
      <c r="P20" s="1718" t="str">
        <f t="shared" si="13"/>
        <v>-</v>
      </c>
      <c r="Q20" s="1717" t="str">
        <f t="shared" ref="Q20:R31" si="14">AH20</f>
        <v>-</v>
      </c>
      <c r="R20" s="1717" t="str">
        <f t="shared" si="14"/>
        <v>-</v>
      </c>
      <c r="S20" s="1131"/>
      <c r="U20" s="2564" t="s">
        <v>942</v>
      </c>
      <c r="V20" s="249" t="s">
        <v>69</v>
      </c>
      <c r="W20" s="7">
        <v>1250417408</v>
      </c>
      <c r="X20" s="7">
        <v>1335507339</v>
      </c>
      <c r="Y20" s="7">
        <v>1498438170</v>
      </c>
      <c r="Z20" s="7">
        <v>1383051125</v>
      </c>
      <c r="AA20" s="7">
        <v>636920645</v>
      </c>
      <c r="AB20" s="7" t="s">
        <v>340</v>
      </c>
      <c r="AC20" s="16" t="s">
        <v>340</v>
      </c>
      <c r="AD20" s="247" t="s">
        <v>340</v>
      </c>
      <c r="AE20" s="1729" t="s">
        <v>340</v>
      </c>
      <c r="AF20" s="1730" t="s">
        <v>340</v>
      </c>
      <c r="AG20" s="257" t="s">
        <v>68</v>
      </c>
      <c r="AH20" s="193" t="s">
        <v>68</v>
      </c>
      <c r="AI20" s="252" t="s">
        <v>68</v>
      </c>
      <c r="AJ20" s="114" t="s">
        <v>178</v>
      </c>
    </row>
    <row r="21" spans="1:44" ht="12" hidden="1" customHeight="1" outlineLevel="1">
      <c r="A21" s="1131"/>
      <c r="B21" s="1721"/>
      <c r="C21" s="2561"/>
      <c r="D21" s="2567" t="s">
        <v>797</v>
      </c>
      <c r="E21" s="2567"/>
      <c r="F21" s="1472">
        <f t="shared" si="13"/>
        <v>87</v>
      </c>
      <c r="G21" s="1472">
        <f t="shared" si="13"/>
        <v>89</v>
      </c>
      <c r="H21" s="1472">
        <f t="shared" si="13"/>
        <v>129</v>
      </c>
      <c r="I21" s="1472">
        <f t="shared" si="13"/>
        <v>79</v>
      </c>
      <c r="J21" s="1472">
        <f t="shared" si="13"/>
        <v>-18</v>
      </c>
      <c r="K21" s="1472" t="str">
        <f t="shared" si="13"/>
        <v>-</v>
      </c>
      <c r="L21" s="1472" t="str">
        <f t="shared" si="13"/>
        <v>-</v>
      </c>
      <c r="M21" s="1472" t="str">
        <f t="shared" si="13"/>
        <v>-</v>
      </c>
      <c r="N21" s="1472" t="str">
        <f t="shared" si="13"/>
        <v>-</v>
      </c>
      <c r="O21" s="1472" t="str">
        <f t="shared" si="13"/>
        <v>-</v>
      </c>
      <c r="P21" s="1472" t="str">
        <f t="shared" si="13"/>
        <v>-</v>
      </c>
      <c r="Q21" s="1125" t="str">
        <f t="shared" si="14"/>
        <v>-</v>
      </c>
      <c r="R21" s="1125" t="str">
        <f t="shared" si="14"/>
        <v>-</v>
      </c>
      <c r="S21" s="1131"/>
      <c r="U21" s="2565"/>
      <c r="V21" s="249" t="s">
        <v>144</v>
      </c>
      <c r="W21" s="7">
        <v>87485226</v>
      </c>
      <c r="X21" s="7">
        <v>89412509</v>
      </c>
      <c r="Y21" s="7">
        <v>129503949</v>
      </c>
      <c r="Z21" s="7">
        <v>79406730</v>
      </c>
      <c r="AA21" s="7">
        <v>-18017572</v>
      </c>
      <c r="AB21" s="7" t="s">
        <v>340</v>
      </c>
      <c r="AC21" s="16" t="s">
        <v>340</v>
      </c>
      <c r="AD21" s="247" t="s">
        <v>340</v>
      </c>
      <c r="AE21" s="16" t="s">
        <v>340</v>
      </c>
      <c r="AF21" s="201" t="s">
        <v>340</v>
      </c>
      <c r="AG21" s="257" t="s">
        <v>1155</v>
      </c>
      <c r="AH21" s="193" t="s">
        <v>1156</v>
      </c>
      <c r="AI21" s="252" t="s">
        <v>1156</v>
      </c>
      <c r="AJ21" s="114" t="s">
        <v>178</v>
      </c>
    </row>
    <row r="22" spans="1:44" ht="12" hidden="1" customHeight="1" outlineLevel="1">
      <c r="A22" s="1131"/>
      <c r="B22" s="1096"/>
      <c r="C22" s="2562"/>
      <c r="D22" s="2568" t="s">
        <v>799</v>
      </c>
      <c r="E22" s="2568"/>
      <c r="F22" s="1127">
        <f t="shared" ref="F22:P22" si="15">IF(OR(W22="-",W22=""),"-",W22)</f>
        <v>6.9964817700298676</v>
      </c>
      <c r="G22" s="1127">
        <f t="shared" si="15"/>
        <v>6.6950219133164941</v>
      </c>
      <c r="H22" s="1127">
        <f t="shared" si="15"/>
        <v>8.6425954432273961</v>
      </c>
      <c r="I22" s="1127">
        <f t="shared" si="15"/>
        <v>5.7414168257879838</v>
      </c>
      <c r="J22" s="1127">
        <f t="shared" si="15"/>
        <v>-2.8288566466549376</v>
      </c>
      <c r="K22" s="1127" t="str">
        <f t="shared" si="15"/>
        <v>-</v>
      </c>
      <c r="L22" s="1127" t="str">
        <f t="shared" si="15"/>
        <v>-</v>
      </c>
      <c r="M22" s="1127" t="str">
        <f t="shared" si="15"/>
        <v>-</v>
      </c>
      <c r="N22" s="1127" t="str">
        <f t="shared" si="15"/>
        <v>-</v>
      </c>
      <c r="O22" s="1127" t="str">
        <f t="shared" si="15"/>
        <v>-</v>
      </c>
      <c r="P22" s="1127" t="str">
        <f t="shared" si="15"/>
        <v>-</v>
      </c>
      <c r="Q22" s="1127" t="str">
        <f t="shared" si="14"/>
        <v>-</v>
      </c>
      <c r="R22" s="1127" t="str">
        <f t="shared" si="14"/>
        <v>-</v>
      </c>
      <c r="S22" s="1131"/>
      <c r="U22" s="2566"/>
      <c r="V22" s="253" t="s">
        <v>70</v>
      </c>
      <c r="W22" s="156">
        <f t="shared" ref="W22:AF22" si="16">IF(OR(W21="-",W20="-"),"-",W21/W20*100)</f>
        <v>6.9964817700298676</v>
      </c>
      <c r="X22" s="156">
        <f t="shared" si="16"/>
        <v>6.6950219133164941</v>
      </c>
      <c r="Y22" s="156">
        <f t="shared" si="16"/>
        <v>8.6425954432273961</v>
      </c>
      <c r="Z22" s="156">
        <f t="shared" si="16"/>
        <v>5.7414168257879838</v>
      </c>
      <c r="AA22" s="156">
        <f t="shared" si="16"/>
        <v>-2.8288566466549376</v>
      </c>
      <c r="AB22" s="156" t="str">
        <f t="shared" si="16"/>
        <v>-</v>
      </c>
      <c r="AC22" s="156" t="str">
        <f t="shared" si="16"/>
        <v>-</v>
      </c>
      <c r="AD22" s="157" t="str">
        <f t="shared" si="16"/>
        <v>-</v>
      </c>
      <c r="AE22" s="157" t="str">
        <f t="shared" si="16"/>
        <v>-</v>
      </c>
      <c r="AF22" s="254" t="str">
        <f t="shared" si="16"/>
        <v>-</v>
      </c>
      <c r="AG22" s="255" t="str">
        <f>IF(OR(AG21="-",AG20="-"),"-",AG21/AG20*100)</f>
        <v>-</v>
      </c>
      <c r="AH22" s="194" t="s">
        <v>68</v>
      </c>
      <c r="AI22" s="256" t="s">
        <v>68</v>
      </c>
    </row>
    <row r="23" spans="1:44" ht="12" hidden="1" customHeight="1" outlineLevel="1">
      <c r="A23" s="1131"/>
      <c r="B23" s="1722"/>
      <c r="C23" s="2569" t="s">
        <v>965</v>
      </c>
      <c r="D23" s="2563" t="s">
        <v>940</v>
      </c>
      <c r="E23" s="2563"/>
      <c r="F23" s="1718">
        <f t="shared" ref="F23:P23" si="17">IF(OR(W23="-",W23=""),"-",ROUNDDOWN(W23,-6)/1000000)</f>
        <v>167</v>
      </c>
      <c r="G23" s="1718">
        <f t="shared" si="17"/>
        <v>438</v>
      </c>
      <c r="H23" s="1718">
        <f>IF(OR(Y23="-",Y23=""),"-",ROUNDDOWN(Y23,-6)/1000000)</f>
        <v>502</v>
      </c>
      <c r="I23" s="1718">
        <f t="shared" si="17"/>
        <v>609</v>
      </c>
      <c r="J23" s="1718">
        <f t="shared" si="17"/>
        <v>529</v>
      </c>
      <c r="K23" s="1718">
        <f t="shared" si="17"/>
        <v>398</v>
      </c>
      <c r="L23" s="1718">
        <f t="shared" si="17"/>
        <v>476</v>
      </c>
      <c r="M23" s="1718">
        <f t="shared" si="17"/>
        <v>518</v>
      </c>
      <c r="N23" s="1718">
        <f t="shared" si="17"/>
        <v>450</v>
      </c>
      <c r="O23" s="1718">
        <f t="shared" si="17"/>
        <v>263</v>
      </c>
      <c r="P23" s="1718" t="str">
        <f t="shared" si="17"/>
        <v>-</v>
      </c>
      <c r="Q23" s="1717" t="str">
        <f t="shared" si="14"/>
        <v>-</v>
      </c>
      <c r="R23" s="1717" t="str">
        <f t="shared" si="14"/>
        <v>-</v>
      </c>
      <c r="S23" s="1131"/>
      <c r="U23" s="2564" t="s">
        <v>943</v>
      </c>
      <c r="V23" s="249" t="s">
        <v>69</v>
      </c>
      <c r="W23" s="7">
        <v>167139487</v>
      </c>
      <c r="X23" s="7">
        <v>438531989</v>
      </c>
      <c r="Y23" s="7">
        <v>502283303</v>
      </c>
      <c r="Z23" s="7">
        <v>609542404</v>
      </c>
      <c r="AA23" s="7">
        <v>529337136</v>
      </c>
      <c r="AB23" s="7">
        <v>398037973</v>
      </c>
      <c r="AC23" s="16">
        <v>476417330</v>
      </c>
      <c r="AD23" s="247">
        <v>518693304</v>
      </c>
      <c r="AE23" s="1729">
        <v>450403395</v>
      </c>
      <c r="AF23" s="1730">
        <v>263557902</v>
      </c>
      <c r="AG23" s="257" t="s">
        <v>68</v>
      </c>
      <c r="AH23" s="194" t="s">
        <v>1156</v>
      </c>
      <c r="AI23" s="252" t="str">
        <f>IF(ISERROR(((AG23/W23)^(1/10)-1)*100),"-",((AG23/W23)^(1/10)-1)*100)</f>
        <v>-</v>
      </c>
      <c r="AJ23" s="114" t="s">
        <v>363</v>
      </c>
      <c r="AP23" s="167" t="s">
        <v>442</v>
      </c>
      <c r="AR23" s="167" t="s">
        <v>455</v>
      </c>
    </row>
    <row r="24" spans="1:44" ht="12" hidden="1" customHeight="1" outlineLevel="1">
      <c r="A24" s="1131"/>
      <c r="B24" s="1721"/>
      <c r="C24" s="2561"/>
      <c r="D24" s="2567" t="s">
        <v>797</v>
      </c>
      <c r="E24" s="2567"/>
      <c r="F24" s="1472">
        <f t="shared" ref="F24:O24" si="18">IF(AND(W24&lt;0,-1000000&lt;=W24),"▲"&amp;IF(OR(W24="-",W24=""),"-",ROUNDDOWN(W24,-6)/1000000),IF(OR(W24="-",W24=""),"-",ROUNDDOWN(W24,-6)/1000000))</f>
        <v>-77</v>
      </c>
      <c r="G24" s="1472">
        <f t="shared" si="18"/>
        <v>30</v>
      </c>
      <c r="H24" s="1472">
        <f t="shared" si="18"/>
        <v>46</v>
      </c>
      <c r="I24" s="1472">
        <f t="shared" si="18"/>
        <v>105</v>
      </c>
      <c r="J24" s="1472">
        <f t="shared" si="18"/>
        <v>60</v>
      </c>
      <c r="K24" s="1472">
        <f t="shared" si="18"/>
        <v>-11</v>
      </c>
      <c r="L24" s="1472">
        <f t="shared" si="18"/>
        <v>40</v>
      </c>
      <c r="M24" s="1472">
        <f t="shared" si="18"/>
        <v>74</v>
      </c>
      <c r="N24" s="1472">
        <f t="shared" si="18"/>
        <v>32</v>
      </c>
      <c r="O24" s="1472">
        <f t="shared" si="18"/>
        <v>-29</v>
      </c>
      <c r="P24" s="1129" t="str">
        <f>IF(AND(AG24&lt;0,-1000000&lt;=AG24),"▲"&amp;IF(OR(AG24="-",AG24=""),"-",ROUNDDOWN(AG24,-6)/1000000),IF(OR(AG24="-",AG24=""),"-",ROUNDDOWN(AG24,-6)/1000000))</f>
        <v>▲0</v>
      </c>
      <c r="Q24" s="1125" t="str">
        <f t="shared" si="14"/>
        <v>-</v>
      </c>
      <c r="R24" s="1125" t="str">
        <f t="shared" si="14"/>
        <v>-</v>
      </c>
      <c r="S24" s="1131"/>
      <c r="U24" s="2565"/>
      <c r="V24" s="249" t="s">
        <v>144</v>
      </c>
      <c r="W24" s="7">
        <v>-77448013</v>
      </c>
      <c r="X24" s="7">
        <v>30231774</v>
      </c>
      <c r="Y24" s="7">
        <v>46585457</v>
      </c>
      <c r="Z24" s="7">
        <v>105363729</v>
      </c>
      <c r="AA24" s="7">
        <v>60628090</v>
      </c>
      <c r="AB24" s="7">
        <v>-11512801</v>
      </c>
      <c r="AC24" s="16">
        <v>40853548</v>
      </c>
      <c r="AD24" s="247">
        <v>74438389</v>
      </c>
      <c r="AE24" s="16">
        <v>32129195</v>
      </c>
      <c r="AF24" s="201">
        <v>-29383021</v>
      </c>
      <c r="AG24" s="257">
        <v>-569896</v>
      </c>
      <c r="AH24" s="193" t="str">
        <f>IF(OR(AF24&lt;0,AG24&lt;0),"-",(AG24/AF24-1)*100)</f>
        <v>-</v>
      </c>
      <c r="AI24" s="252" t="str">
        <f>IF(OR(AND(W24&gt;0,AG24&lt;0),AND(W24&lt;0,AG24&gt;0),AND(W24&lt;0,AG24&lt;0)),"-",IF(ISERROR(((AG24/W24)^(1/10)-1)*100),"-",((AG24/W24)^(1/10)-1)*100))</f>
        <v>-</v>
      </c>
      <c r="AJ24" s="114" t="s">
        <v>363</v>
      </c>
      <c r="AR24" s="167" t="s">
        <v>455</v>
      </c>
    </row>
    <row r="25" spans="1:44" ht="12" hidden="1" customHeight="1" outlineLevel="1">
      <c r="A25" s="1131"/>
      <c r="B25" s="1096"/>
      <c r="C25" s="2562"/>
      <c r="D25" s="2568" t="s">
        <v>799</v>
      </c>
      <c r="E25" s="2568"/>
      <c r="F25" s="1127">
        <f t="shared" ref="F25:P25" si="19">IF(OR(W25="-",W25=""),"-",W25)</f>
        <v>-46.337352345708709</v>
      </c>
      <c r="G25" s="1127">
        <f t="shared" si="19"/>
        <v>6.8938583178250195</v>
      </c>
      <c r="H25" s="1127">
        <f t="shared" si="19"/>
        <v>9.2747373288655783</v>
      </c>
      <c r="I25" s="1127">
        <f t="shared" si="19"/>
        <v>17.285709461486455</v>
      </c>
      <c r="J25" s="1127">
        <f t="shared" si="19"/>
        <v>11.453587114280984</v>
      </c>
      <c r="K25" s="1127">
        <f t="shared" si="19"/>
        <v>-2.8923876064457801</v>
      </c>
      <c r="L25" s="1127">
        <f t="shared" si="19"/>
        <v>8.5751599338336408</v>
      </c>
      <c r="M25" s="1127">
        <f t="shared" si="19"/>
        <v>14.351137449809839</v>
      </c>
      <c r="N25" s="1127">
        <f t="shared" si="19"/>
        <v>7.1334264698426617</v>
      </c>
      <c r="O25" s="1127">
        <f t="shared" si="19"/>
        <v>-11.14860179756629</v>
      </c>
      <c r="P25" s="1127" t="str">
        <f t="shared" si="19"/>
        <v>-</v>
      </c>
      <c r="Q25" s="1127" t="str">
        <f t="shared" si="14"/>
        <v>-</v>
      </c>
      <c r="R25" s="1127" t="str">
        <f t="shared" si="14"/>
        <v>-</v>
      </c>
      <c r="S25" s="1131"/>
      <c r="U25" s="2566"/>
      <c r="V25" s="253" t="s">
        <v>70</v>
      </c>
      <c r="W25" s="156">
        <f t="shared" ref="W25:AE25" si="20">IF(OR(W24="-",W23="-"),"-",W24/W23*100)</f>
        <v>-46.337352345708709</v>
      </c>
      <c r="X25" s="156">
        <f t="shared" si="20"/>
        <v>6.8938583178250195</v>
      </c>
      <c r="Y25" s="156">
        <f t="shared" si="20"/>
        <v>9.2747373288655783</v>
      </c>
      <c r="Z25" s="156">
        <f t="shared" si="20"/>
        <v>17.285709461486455</v>
      </c>
      <c r="AA25" s="156">
        <f t="shared" si="20"/>
        <v>11.453587114280984</v>
      </c>
      <c r="AB25" s="156">
        <f t="shared" si="20"/>
        <v>-2.8923876064457801</v>
      </c>
      <c r="AC25" s="156">
        <f t="shared" si="20"/>
        <v>8.5751599338336408</v>
      </c>
      <c r="AD25" s="157">
        <f t="shared" si="20"/>
        <v>14.351137449809839</v>
      </c>
      <c r="AE25" s="157">
        <f t="shared" si="20"/>
        <v>7.1334264698426617</v>
      </c>
      <c r="AF25" s="254">
        <f>IF(OR(AF24="-",AF23="-",AF23=0),"-",AF24/AF23*100)</f>
        <v>-11.14860179756629</v>
      </c>
      <c r="AG25" s="255" t="str">
        <f>IF(OR(OR(AG24="-",AG23="-"),AG23=0),"-",AG24/AG23*100)</f>
        <v>-</v>
      </c>
      <c r="AH25" s="194" t="s">
        <v>68</v>
      </c>
      <c r="AI25" s="256" t="s">
        <v>68</v>
      </c>
    </row>
    <row r="26" spans="1:44" ht="12" hidden="1" customHeight="1" outlineLevel="1">
      <c r="A26" s="1131"/>
      <c r="B26" s="1722"/>
      <c r="C26" s="2560" t="s">
        <v>1161</v>
      </c>
      <c r="D26" s="2563" t="s">
        <v>940</v>
      </c>
      <c r="E26" s="2563"/>
      <c r="F26" s="1718" t="str">
        <f t="shared" ref="F26:P27" si="21">IF(OR(W26="-",W26=""),"-",ROUNDDOWN(W26,-6)/1000000)</f>
        <v>-</v>
      </c>
      <c r="G26" s="1718" t="str">
        <f t="shared" si="21"/>
        <v>-</v>
      </c>
      <c r="H26" s="1718">
        <f t="shared" si="21"/>
        <v>32</v>
      </c>
      <c r="I26" s="1718">
        <f t="shared" si="21"/>
        <v>84</v>
      </c>
      <c r="J26" s="1718">
        <f t="shared" si="21"/>
        <v>83</v>
      </c>
      <c r="K26" s="1718">
        <f t="shared" si="21"/>
        <v>95</v>
      </c>
      <c r="L26" s="1718">
        <f t="shared" si="21"/>
        <v>107</v>
      </c>
      <c r="M26" s="1718">
        <f t="shared" si="21"/>
        <v>127</v>
      </c>
      <c r="N26" s="1718">
        <f t="shared" si="21"/>
        <v>127</v>
      </c>
      <c r="O26" s="1718">
        <f t="shared" si="21"/>
        <v>126</v>
      </c>
      <c r="P26" s="1718">
        <f t="shared" si="21"/>
        <v>85</v>
      </c>
      <c r="Q26" s="1717">
        <f t="shared" si="14"/>
        <v>-32.127596086173185</v>
      </c>
      <c r="R26" s="1717">
        <f t="shared" si="14"/>
        <v>12.740935208667835</v>
      </c>
      <c r="S26" s="1131"/>
      <c r="U26" s="2564" t="s">
        <v>1162</v>
      </c>
      <c r="V26" s="249" t="s">
        <v>69</v>
      </c>
      <c r="W26" s="7" t="s">
        <v>340</v>
      </c>
      <c r="X26" s="7" t="s">
        <v>340</v>
      </c>
      <c r="Y26" s="7">
        <v>32769600</v>
      </c>
      <c r="Z26" s="7">
        <v>84860000</v>
      </c>
      <c r="AA26" s="7">
        <v>83766365</v>
      </c>
      <c r="AB26" s="7">
        <v>95954217</v>
      </c>
      <c r="AC26" s="16">
        <v>107261031</v>
      </c>
      <c r="AD26" s="247">
        <v>127291145</v>
      </c>
      <c r="AE26" s="1729">
        <v>127133251</v>
      </c>
      <c r="AF26" s="1730">
        <v>126017533</v>
      </c>
      <c r="AG26" s="257">
        <v>85531129</v>
      </c>
      <c r="AH26" s="193">
        <f>IF(OR(AF26&lt;=0,AG26&lt;=0,AF26="-"),"-",(AG26/AF26-1)*100)</f>
        <v>-32.127596086173185</v>
      </c>
      <c r="AI26" s="252">
        <f>IF(ISERROR(((AG26/Y26)^(1/8)-1)*100),"-",((AG26/Y26)^(1/8)-1)*100)</f>
        <v>12.740935208667835</v>
      </c>
      <c r="AJ26" s="114" t="s">
        <v>363</v>
      </c>
      <c r="AP26" s="167" t="s">
        <v>443</v>
      </c>
    </row>
    <row r="27" spans="1:44" ht="12" hidden="1" customHeight="1" outlineLevel="1">
      <c r="A27" s="1131"/>
      <c r="B27" s="1721"/>
      <c r="C27" s="2561"/>
      <c r="D27" s="2567" t="s">
        <v>797</v>
      </c>
      <c r="E27" s="2567"/>
      <c r="F27" s="1472" t="str">
        <f t="shared" si="21"/>
        <v>-</v>
      </c>
      <c r="G27" s="1472" t="str">
        <f t="shared" si="21"/>
        <v>-</v>
      </c>
      <c r="H27" s="1472">
        <f t="shared" si="21"/>
        <v>9</v>
      </c>
      <c r="I27" s="1472">
        <f t="shared" si="21"/>
        <v>28</v>
      </c>
      <c r="J27" s="1472">
        <f t="shared" si="21"/>
        <v>23</v>
      </c>
      <c r="K27" s="1472">
        <f t="shared" si="21"/>
        <v>8</v>
      </c>
      <c r="L27" s="1472">
        <f t="shared" si="21"/>
        <v>19</v>
      </c>
      <c r="M27" s="1472">
        <f t="shared" si="21"/>
        <v>28</v>
      </c>
      <c r="N27" s="1472">
        <f t="shared" si="21"/>
        <v>27</v>
      </c>
      <c r="O27" s="1472">
        <f t="shared" si="21"/>
        <v>53</v>
      </c>
      <c r="P27" s="1472">
        <f t="shared" si="21"/>
        <v>58</v>
      </c>
      <c r="Q27" s="1125">
        <f t="shared" si="14"/>
        <v>10.375043482923862</v>
      </c>
      <c r="R27" s="1125">
        <f t="shared" si="14"/>
        <v>25.295884515015011</v>
      </c>
      <c r="S27" s="1131"/>
      <c r="U27" s="2565"/>
      <c r="V27" s="249" t="s">
        <v>144</v>
      </c>
      <c r="W27" s="7" t="s">
        <v>340</v>
      </c>
      <c r="X27" s="7" t="s">
        <v>340</v>
      </c>
      <c r="Y27" s="7">
        <v>9670924</v>
      </c>
      <c r="Z27" s="7">
        <v>28481576</v>
      </c>
      <c r="AA27" s="7">
        <v>23346901</v>
      </c>
      <c r="AB27" s="7">
        <v>8120856</v>
      </c>
      <c r="AC27" s="7">
        <v>19712876</v>
      </c>
      <c r="AD27" s="6">
        <v>28112913</v>
      </c>
      <c r="AE27" s="6">
        <v>27494645</v>
      </c>
      <c r="AF27" s="201">
        <v>53222042</v>
      </c>
      <c r="AG27" s="257">
        <v>58743852</v>
      </c>
      <c r="AH27" s="193">
        <f>IF(OR(AF27&lt;=0,AG27&lt;=0,AF27="-"),"-",(AG27/AF27-1)*100)</f>
        <v>10.375043482923862</v>
      </c>
      <c r="AI27" s="252">
        <f>IF(OR(AND(Y27&gt;0,AG27&lt;0),AND(Y27&lt;0,AG27&gt;0),AND(Y27&lt;0,AG27&lt;0)),"-",IF(ISERROR(((AG27/Y27)^(1/8)-1)*100),"-",((AG27/Y27)^(1/8)-1)*100))</f>
        <v>25.295884515015011</v>
      </c>
      <c r="AJ27" s="114" t="s">
        <v>363</v>
      </c>
      <c r="AP27" s="167" t="s">
        <v>443</v>
      </c>
    </row>
    <row r="28" spans="1:44" ht="12" hidden="1" customHeight="1" outlineLevel="1">
      <c r="A28" s="1131"/>
      <c r="B28" s="1096"/>
      <c r="C28" s="2562"/>
      <c r="D28" s="2568" t="s">
        <v>799</v>
      </c>
      <c r="E28" s="2568"/>
      <c r="F28" s="1127" t="str">
        <f t="shared" ref="F28:P28" si="22">IF(OR(W28="-",W28=""),"-",W28)</f>
        <v>-</v>
      </c>
      <c r="G28" s="1127" t="str">
        <f t="shared" si="22"/>
        <v>-</v>
      </c>
      <c r="H28" s="1127">
        <f t="shared" si="22"/>
        <v>29.511876861481372</v>
      </c>
      <c r="I28" s="1127">
        <f t="shared" si="22"/>
        <v>33.56301673344332</v>
      </c>
      <c r="J28" s="1127">
        <f t="shared" si="22"/>
        <v>27.871450551781734</v>
      </c>
      <c r="K28" s="1127">
        <f t="shared" si="22"/>
        <v>8.4632611821531505</v>
      </c>
      <c r="L28" s="1127">
        <f t="shared" si="22"/>
        <v>18.378413685022288</v>
      </c>
      <c r="M28" s="1127">
        <f t="shared" si="22"/>
        <v>22.085521345573568</v>
      </c>
      <c r="N28" s="1127">
        <f t="shared" si="22"/>
        <v>21.626635662766148</v>
      </c>
      <c r="O28" s="1127">
        <f t="shared" si="22"/>
        <v>42.233839000799996</v>
      </c>
      <c r="P28" s="1127">
        <f t="shared" si="22"/>
        <v>68.681254049622098</v>
      </c>
      <c r="Q28" s="1127" t="str">
        <f t="shared" si="14"/>
        <v>-</v>
      </c>
      <c r="R28" s="1127" t="str">
        <f t="shared" si="14"/>
        <v>-</v>
      </c>
      <c r="S28" s="1131"/>
      <c r="U28" s="2566"/>
      <c r="V28" s="253" t="s">
        <v>70</v>
      </c>
      <c r="W28" s="156" t="str">
        <f t="shared" ref="W28:AF28" si="23">IF(OR(W27="-",W26="-"),"-",W27/W26*100)</f>
        <v>-</v>
      </c>
      <c r="X28" s="156" t="str">
        <f t="shared" si="23"/>
        <v>-</v>
      </c>
      <c r="Y28" s="156">
        <f t="shared" si="23"/>
        <v>29.511876861481372</v>
      </c>
      <c r="Z28" s="156">
        <f t="shared" si="23"/>
        <v>33.56301673344332</v>
      </c>
      <c r="AA28" s="156">
        <f t="shared" si="23"/>
        <v>27.871450551781734</v>
      </c>
      <c r="AB28" s="156">
        <f t="shared" si="23"/>
        <v>8.4632611821531505</v>
      </c>
      <c r="AC28" s="156">
        <f t="shared" si="23"/>
        <v>18.378413685022288</v>
      </c>
      <c r="AD28" s="156">
        <f t="shared" si="23"/>
        <v>22.085521345573568</v>
      </c>
      <c r="AE28" s="156">
        <f t="shared" si="23"/>
        <v>21.626635662766148</v>
      </c>
      <c r="AF28" s="156">
        <f t="shared" si="23"/>
        <v>42.233839000799996</v>
      </c>
      <c r="AG28" s="255">
        <f>IF(OR(OR(AG27="-",AG26="-"),AG26=0),"-",AG27/AG26*100)</f>
        <v>68.681254049622098</v>
      </c>
      <c r="AH28" s="194" t="s">
        <v>68</v>
      </c>
      <c r="AI28" s="256" t="s">
        <v>1155</v>
      </c>
    </row>
    <row r="29" spans="1:44" ht="12" hidden="1" customHeight="1" outlineLevel="1">
      <c r="A29" s="1131"/>
      <c r="B29" s="1722"/>
      <c r="C29" s="2560" t="s">
        <v>1163</v>
      </c>
      <c r="D29" s="2563" t="s">
        <v>940</v>
      </c>
      <c r="E29" s="2563"/>
      <c r="F29" s="1472">
        <f t="shared" ref="F29:P30" si="24">IF(OR(W29="-",W29=""),"-",ROUNDDOWN(W29,-6)/1000000)</f>
        <v>1417</v>
      </c>
      <c r="G29" s="1472">
        <f t="shared" si="24"/>
        <v>1774</v>
      </c>
      <c r="H29" s="1472">
        <f t="shared" si="24"/>
        <v>2033</v>
      </c>
      <c r="I29" s="1472">
        <f t="shared" si="24"/>
        <v>2077</v>
      </c>
      <c r="J29" s="1472">
        <f t="shared" si="24"/>
        <v>1250</v>
      </c>
      <c r="K29" s="1472">
        <f t="shared" si="24"/>
        <v>493</v>
      </c>
      <c r="L29" s="1472">
        <f t="shared" si="24"/>
        <v>583</v>
      </c>
      <c r="M29" s="1472">
        <f t="shared" si="24"/>
        <v>645</v>
      </c>
      <c r="N29" s="1472">
        <f t="shared" si="24"/>
        <v>577</v>
      </c>
      <c r="O29" s="1472">
        <f t="shared" si="24"/>
        <v>389</v>
      </c>
      <c r="P29" s="1472">
        <f t="shared" si="24"/>
        <v>85</v>
      </c>
      <c r="Q29" s="1125">
        <f t="shared" si="14"/>
        <v>-78.045040493890482</v>
      </c>
      <c r="R29" s="1125">
        <f t="shared" si="14"/>
        <v>-24.480627865396841</v>
      </c>
      <c r="S29" s="1131"/>
      <c r="U29" s="2564" t="s">
        <v>1157</v>
      </c>
      <c r="V29" s="1731" t="s">
        <v>69</v>
      </c>
      <c r="W29" s="1732">
        <f>IF(AND(W20="-",W23="-",W26="-",),"-",SUM(W20,W23,W26))</f>
        <v>1417556895</v>
      </c>
      <c r="X29" s="1732">
        <f t="shared" ref="X29:AG30" si="25">IF(AND(X20="-",X23="-",X26="-",),"-",SUM(X20,X23,X26))</f>
        <v>1774039328</v>
      </c>
      <c r="Y29" s="1732">
        <f t="shared" si="25"/>
        <v>2033491073</v>
      </c>
      <c r="Z29" s="1732">
        <f t="shared" si="25"/>
        <v>2077453529</v>
      </c>
      <c r="AA29" s="1732">
        <f t="shared" si="25"/>
        <v>1250024146</v>
      </c>
      <c r="AB29" s="1732">
        <f t="shared" si="25"/>
        <v>493992190</v>
      </c>
      <c r="AC29" s="1732">
        <f t="shared" si="25"/>
        <v>583678361</v>
      </c>
      <c r="AD29" s="1732">
        <f t="shared" si="25"/>
        <v>645984449</v>
      </c>
      <c r="AE29" s="1732">
        <f t="shared" si="25"/>
        <v>577536646</v>
      </c>
      <c r="AF29" s="1730">
        <f t="shared" si="25"/>
        <v>389575435</v>
      </c>
      <c r="AG29" s="1733">
        <f t="shared" si="25"/>
        <v>85531129</v>
      </c>
      <c r="AH29" s="1734">
        <f>IF(OR(AF29&lt;0,AG29&lt;0),"-",(AG29/AF29-1)*100)</f>
        <v>-78.045040493890482</v>
      </c>
      <c r="AI29" s="1735">
        <f>IF(ISERROR(((AG29/W29)^(1/10)-1)*100),"-",((AG29/W29)^(1/10)-1)*100)</f>
        <v>-24.480627865396841</v>
      </c>
      <c r="AJ29" s="114"/>
    </row>
    <row r="30" spans="1:44" ht="12" hidden="1" customHeight="1" outlineLevel="1">
      <c r="A30" s="1131"/>
      <c r="B30" s="1721"/>
      <c r="C30" s="2561"/>
      <c r="D30" s="2567" t="s">
        <v>797</v>
      </c>
      <c r="E30" s="2567"/>
      <c r="F30" s="1472">
        <f t="shared" si="24"/>
        <v>10</v>
      </c>
      <c r="G30" s="1472">
        <f t="shared" si="24"/>
        <v>119</v>
      </c>
      <c r="H30" s="1472">
        <f t="shared" si="24"/>
        <v>185</v>
      </c>
      <c r="I30" s="1472">
        <f t="shared" si="24"/>
        <v>213</v>
      </c>
      <c r="J30" s="1472">
        <f t="shared" si="24"/>
        <v>65</v>
      </c>
      <c r="K30" s="1472">
        <f t="shared" si="24"/>
        <v>-3</v>
      </c>
      <c r="L30" s="1472">
        <f t="shared" si="24"/>
        <v>60</v>
      </c>
      <c r="M30" s="1472">
        <f t="shared" si="24"/>
        <v>102</v>
      </c>
      <c r="N30" s="1472">
        <f t="shared" si="24"/>
        <v>59</v>
      </c>
      <c r="O30" s="1472">
        <f t="shared" si="24"/>
        <v>23</v>
      </c>
      <c r="P30" s="1472">
        <f t="shared" si="24"/>
        <v>58</v>
      </c>
      <c r="Q30" s="1125">
        <f t="shared" si="14"/>
        <v>144.02829294038543</v>
      </c>
      <c r="R30" s="1125">
        <f t="shared" si="14"/>
        <v>19.209686474167587</v>
      </c>
      <c r="S30" s="1131"/>
      <c r="U30" s="2565"/>
      <c r="V30" s="258" t="s">
        <v>144</v>
      </c>
      <c r="W30" s="6">
        <f>IF(AND(W21="-",W24="-",W27="-",),"-",SUM(W21,W24,W27))</f>
        <v>10037213</v>
      </c>
      <c r="X30" s="6">
        <f t="shared" si="25"/>
        <v>119644283</v>
      </c>
      <c r="Y30" s="6">
        <f t="shared" si="25"/>
        <v>185760330</v>
      </c>
      <c r="Z30" s="6">
        <f t="shared" si="25"/>
        <v>213252035</v>
      </c>
      <c r="AA30" s="6">
        <f t="shared" si="25"/>
        <v>65957419</v>
      </c>
      <c r="AB30" s="6">
        <f t="shared" si="25"/>
        <v>-3391945</v>
      </c>
      <c r="AC30" s="6">
        <f t="shared" si="25"/>
        <v>60566424</v>
      </c>
      <c r="AD30" s="6">
        <f t="shared" si="25"/>
        <v>102551302</v>
      </c>
      <c r="AE30" s="6">
        <f t="shared" si="25"/>
        <v>59623840</v>
      </c>
      <c r="AF30" s="201">
        <f t="shared" si="25"/>
        <v>23839021</v>
      </c>
      <c r="AG30" s="257">
        <f t="shared" si="25"/>
        <v>58173956</v>
      </c>
      <c r="AH30" s="193">
        <f>IF(OR(AF30&lt;0,AG30&lt;0),"-",(AG30/AF30-1)*100)</f>
        <v>144.02829294038543</v>
      </c>
      <c r="AI30" s="192">
        <f>IF(OR(AND(W30&gt;0,AG30&lt;0),AND(W30&lt;0,AG30&gt;0),AND(W30&lt;0,AG30&lt;0)),"-",IF(ISERROR(((AG30/W30)^(1/10)-1)*100),"-",((AG30/W30)^(1/10)-1)*100))</f>
        <v>19.209686474167587</v>
      </c>
      <c r="AJ30" s="114"/>
    </row>
    <row r="31" spans="1:44" ht="12" hidden="1" customHeight="1" outlineLevel="1">
      <c r="A31" s="1131"/>
      <c r="B31" s="1096"/>
      <c r="C31" s="2562"/>
      <c r="D31" s="2568" t="s">
        <v>799</v>
      </c>
      <c r="E31" s="2568"/>
      <c r="F31" s="1127">
        <f t="shared" ref="F31:P31" si="26">IF(OR(W31="-",W31=""),"-",W31)</f>
        <v>0.70806420789198732</v>
      </c>
      <c r="G31" s="1127">
        <f t="shared" si="26"/>
        <v>6.7441730919733027</v>
      </c>
      <c r="H31" s="1127">
        <f t="shared" si="26"/>
        <v>9.1350452660679071</v>
      </c>
      <c r="I31" s="1127">
        <f t="shared" si="26"/>
        <v>10.265068846216295</v>
      </c>
      <c r="J31" s="1127">
        <f t="shared" si="26"/>
        <v>5.2764915950671565</v>
      </c>
      <c r="K31" s="1127">
        <f t="shared" si="26"/>
        <v>-0.68663939808441099</v>
      </c>
      <c r="L31" s="1127">
        <f t="shared" si="26"/>
        <v>10.376677986868183</v>
      </c>
      <c r="M31" s="1127">
        <f t="shared" si="26"/>
        <v>15.875196710811224</v>
      </c>
      <c r="N31" s="1127">
        <f t="shared" si="26"/>
        <v>10.32381934773365</v>
      </c>
      <c r="O31" s="1127">
        <f t="shared" si="26"/>
        <v>6.1192310546993287</v>
      </c>
      <c r="P31" s="1127">
        <f t="shared" si="26"/>
        <v>68.014951609021793</v>
      </c>
      <c r="Q31" s="1127" t="str">
        <f t="shared" si="14"/>
        <v>-</v>
      </c>
      <c r="R31" s="1127" t="str">
        <f t="shared" si="14"/>
        <v>-</v>
      </c>
      <c r="S31" s="1131"/>
      <c r="U31" s="2566"/>
      <c r="V31" s="259" t="s">
        <v>70</v>
      </c>
      <c r="W31" s="260">
        <f t="shared" ref="W31:AG31" si="27">IF(OR(W30="-",W29="-"),"-",W30/W29*100)</f>
        <v>0.70806420789198732</v>
      </c>
      <c r="X31" s="260">
        <f t="shared" si="27"/>
        <v>6.7441730919733027</v>
      </c>
      <c r="Y31" s="260">
        <f t="shared" si="27"/>
        <v>9.1350452660679071</v>
      </c>
      <c r="Z31" s="260">
        <f t="shared" si="27"/>
        <v>10.265068846216295</v>
      </c>
      <c r="AA31" s="260">
        <f t="shared" si="27"/>
        <v>5.2764915950671565</v>
      </c>
      <c r="AB31" s="260">
        <f t="shared" si="27"/>
        <v>-0.68663939808441099</v>
      </c>
      <c r="AC31" s="260">
        <f t="shared" si="27"/>
        <v>10.376677986868183</v>
      </c>
      <c r="AD31" s="260">
        <f t="shared" si="27"/>
        <v>15.875196710811224</v>
      </c>
      <c r="AE31" s="260">
        <f t="shared" si="27"/>
        <v>10.32381934773365</v>
      </c>
      <c r="AF31" s="195">
        <f t="shared" si="27"/>
        <v>6.1192310546993287</v>
      </c>
      <c r="AG31" s="255">
        <f t="shared" si="27"/>
        <v>68.014951609021793</v>
      </c>
      <c r="AH31" s="194" t="s">
        <v>1156</v>
      </c>
      <c r="AI31" s="256" t="s">
        <v>1155</v>
      </c>
    </row>
    <row r="32" spans="1:44" ht="14.25" hidden="1" customHeight="1" outlineLevel="1">
      <c r="A32" s="1131"/>
      <c r="B32" s="668"/>
      <c r="C32" s="1480"/>
      <c r="D32" s="1272"/>
      <c r="E32" s="1272"/>
      <c r="F32" s="1221"/>
      <c r="G32" s="1221"/>
      <c r="H32" s="1221"/>
      <c r="I32" s="1221"/>
      <c r="J32" s="1221"/>
      <c r="K32" s="1221"/>
      <c r="L32" s="1221"/>
      <c r="M32" s="1221"/>
      <c r="N32" s="1221"/>
      <c r="O32" s="1221"/>
      <c r="P32" s="1221"/>
      <c r="Q32" s="1221"/>
      <c r="R32" s="1221"/>
      <c r="S32" s="1131"/>
      <c r="U32" s="1481"/>
      <c r="V32" s="9"/>
      <c r="W32" s="170"/>
      <c r="X32" s="170"/>
      <c r="Y32" s="170"/>
      <c r="Z32" s="170"/>
      <c r="AA32" s="170"/>
      <c r="AB32" s="170"/>
      <c r="AC32" s="170"/>
      <c r="AD32" s="170"/>
      <c r="AE32" s="170"/>
      <c r="AF32" s="170"/>
      <c r="AG32" s="170"/>
      <c r="AH32" s="170"/>
      <c r="AI32" s="170"/>
    </row>
    <row r="33" spans="1:46" ht="14.25" hidden="1" customHeight="1" outlineLevel="1">
      <c r="A33" s="1131"/>
      <c r="B33" s="668"/>
      <c r="C33" s="1480"/>
      <c r="D33" s="1272"/>
      <c r="E33" s="1272"/>
      <c r="F33" s="1221"/>
      <c r="G33" s="1221"/>
      <c r="H33" s="1221"/>
      <c r="I33" s="1221"/>
      <c r="J33" s="1221"/>
      <c r="K33" s="1221"/>
      <c r="L33" s="1221"/>
      <c r="M33" s="1221"/>
      <c r="N33" s="1221"/>
      <c r="O33" s="1221"/>
      <c r="P33" s="1221"/>
      <c r="Q33" s="1221"/>
      <c r="R33" s="1221"/>
      <c r="S33" s="1131"/>
      <c r="U33" s="1481"/>
      <c r="V33" s="9"/>
      <c r="W33" s="170"/>
      <c r="X33" s="170"/>
      <c r="Y33" s="170"/>
      <c r="Z33" s="170"/>
      <c r="AA33" s="170"/>
      <c r="AB33" s="170"/>
      <c r="AC33" s="170"/>
      <c r="AD33" s="170"/>
      <c r="AE33" s="170"/>
      <c r="AF33" s="170"/>
      <c r="AG33" s="170"/>
      <c r="AH33" s="170"/>
      <c r="AI33" s="170"/>
    </row>
    <row r="34" spans="1:46" ht="14.25" hidden="1" customHeight="1" outlineLevel="1">
      <c r="A34" s="1131"/>
      <c r="B34" s="668"/>
      <c r="C34" s="1480"/>
      <c r="D34" s="1272"/>
      <c r="E34" s="1272"/>
      <c r="F34" s="1221"/>
      <c r="G34" s="1221"/>
      <c r="H34" s="1221"/>
      <c r="I34" s="1221"/>
      <c r="J34" s="1221"/>
      <c r="K34" s="1221"/>
      <c r="L34" s="1221"/>
      <c r="M34" s="1221"/>
      <c r="N34" s="1221"/>
      <c r="O34" s="1221"/>
      <c r="P34" s="1221"/>
      <c r="Q34" s="1221"/>
      <c r="R34" s="1221"/>
      <c r="S34" s="1131"/>
      <c r="U34" s="1481"/>
      <c r="V34" s="9"/>
      <c r="W34" s="170"/>
      <c r="X34" s="170"/>
      <c r="Y34" s="170"/>
      <c r="Z34" s="170"/>
      <c r="AA34" s="170"/>
      <c r="AB34" s="170"/>
      <c r="AC34" s="170"/>
      <c r="AD34" s="170"/>
      <c r="AE34" s="170"/>
      <c r="AF34" s="170"/>
      <c r="AG34" s="170"/>
      <c r="AH34" s="170"/>
      <c r="AI34" s="170"/>
    </row>
    <row r="35" spans="1:46" ht="16.5" customHeight="1" collapsed="1">
      <c r="A35" s="1131"/>
      <c r="B35" s="1723"/>
      <c r="C35" s="1723"/>
      <c r="D35" s="1723"/>
      <c r="E35" s="1723"/>
      <c r="F35" s="1163"/>
      <c r="G35" s="1163"/>
      <c r="H35" s="1163"/>
      <c r="I35" s="1163"/>
      <c r="J35" s="1163"/>
      <c r="K35" s="1163"/>
      <c r="L35" s="1163"/>
      <c r="M35" s="1163"/>
      <c r="N35" s="1163"/>
      <c r="O35" s="1163"/>
      <c r="P35" s="1163"/>
      <c r="Q35" s="1163"/>
      <c r="R35" s="1163"/>
      <c r="S35" s="1131"/>
      <c r="U35" s="1165"/>
      <c r="V35" s="158"/>
      <c r="W35" s="158"/>
      <c r="X35" s="159"/>
      <c r="Y35" s="160"/>
      <c r="Z35" s="159"/>
      <c r="AA35" s="160"/>
      <c r="AB35" s="159"/>
      <c r="AC35" s="160"/>
      <c r="AD35" s="159"/>
      <c r="AE35" s="160"/>
      <c r="AF35" s="159"/>
      <c r="AG35" s="74"/>
      <c r="AH35" s="159"/>
      <c r="AI35" s="160"/>
      <c r="AJ35" s="159"/>
      <c r="AK35" s="160"/>
      <c r="AL35" s="159"/>
      <c r="AN35" s="159"/>
      <c r="AO35" s="160"/>
      <c r="AP35" s="159"/>
      <c r="AQ35" s="160"/>
    </row>
    <row r="36" spans="1:46" ht="16.5" customHeight="1" thickBot="1">
      <c r="A36" s="1131"/>
      <c r="B36" s="1723"/>
      <c r="C36" s="1723"/>
      <c r="D36" s="1723"/>
      <c r="E36" s="1723"/>
      <c r="F36" s="1163"/>
      <c r="G36" s="1163"/>
      <c r="H36" s="1163"/>
      <c r="I36" s="1163"/>
      <c r="J36" s="1163"/>
      <c r="K36" s="1163"/>
      <c r="L36" s="1163"/>
      <c r="M36" s="1163"/>
      <c r="N36" s="1163"/>
      <c r="O36" s="1163"/>
      <c r="P36" s="1163"/>
      <c r="Q36" s="1163"/>
      <c r="R36" s="1163"/>
      <c r="S36" s="1131"/>
      <c r="U36" s="1133" t="s">
        <v>944</v>
      </c>
    </row>
    <row r="37" spans="1:46" s="148" customFormat="1" ht="16.5" customHeight="1" thickBot="1">
      <c r="A37" s="1723"/>
      <c r="B37" s="1723"/>
      <c r="C37" s="1723"/>
      <c r="D37" s="1723"/>
      <c r="E37" s="1723"/>
      <c r="F37" s="1163"/>
      <c r="G37" s="1163"/>
      <c r="H37" s="1163"/>
      <c r="I37" s="1163"/>
      <c r="J37" s="1163"/>
      <c r="K37" s="1163"/>
      <c r="L37" s="1163"/>
      <c r="M37" s="1163"/>
      <c r="N37" s="1163"/>
      <c r="O37" s="1163"/>
      <c r="P37" s="1163"/>
      <c r="Q37" s="2075" t="s">
        <v>1680</v>
      </c>
      <c r="R37" s="1163"/>
      <c r="S37" s="1723"/>
      <c r="T37" s="149"/>
      <c r="U37" s="1482"/>
      <c r="V37" s="261"/>
      <c r="W37" s="262" t="str">
        <f t="shared" ref="W37:AG37" si="28">W5</f>
        <v>2016.3</v>
      </c>
      <c r="X37" s="262" t="str">
        <f t="shared" si="28"/>
        <v>2017.3</v>
      </c>
      <c r="Y37" s="262" t="str">
        <f t="shared" si="28"/>
        <v>2018.3</v>
      </c>
      <c r="Z37" s="262" t="str">
        <f t="shared" si="28"/>
        <v>2019.3</v>
      </c>
      <c r="AA37" s="262" t="str">
        <f t="shared" si="28"/>
        <v>2020.3</v>
      </c>
      <c r="AB37" s="263" t="str">
        <f t="shared" si="28"/>
        <v>2021.3</v>
      </c>
      <c r="AC37" s="262" t="str">
        <f t="shared" si="28"/>
        <v>2022.3</v>
      </c>
      <c r="AD37" s="262" t="str">
        <f t="shared" si="28"/>
        <v>2023.3</v>
      </c>
      <c r="AE37" s="263" t="str">
        <f t="shared" si="28"/>
        <v>2024.3</v>
      </c>
      <c r="AF37" s="262" t="str">
        <f t="shared" si="28"/>
        <v>2025.3</v>
      </c>
      <c r="AG37" s="264" t="str">
        <f t="shared" si="28"/>
        <v>2026.3</v>
      </c>
      <c r="AH37" s="265"/>
      <c r="AI37" s="266"/>
      <c r="AJ37" s="144"/>
      <c r="AK37" s="144"/>
      <c r="AL37" s="144"/>
      <c r="AM37" s="144"/>
      <c r="AN37" s="144"/>
      <c r="AO37" s="144"/>
      <c r="AP37" s="144"/>
      <c r="AQ37" s="144"/>
      <c r="AR37" s="144"/>
      <c r="AS37" s="144"/>
      <c r="AT37" s="144"/>
    </row>
    <row r="38" spans="1:46" ht="23.25" customHeight="1" thickTop="1">
      <c r="A38" s="1131"/>
      <c r="B38" s="2273"/>
      <c r="C38" s="2273"/>
      <c r="D38" s="2273"/>
      <c r="E38" s="2273"/>
      <c r="F38" s="2206">
        <v>2016.3</v>
      </c>
      <c r="G38" s="2206">
        <v>2017.3</v>
      </c>
      <c r="H38" s="2206">
        <v>2018.3</v>
      </c>
      <c r="I38" s="2206">
        <v>2019.3</v>
      </c>
      <c r="J38" s="2206">
        <v>2020.3</v>
      </c>
      <c r="K38" s="2206">
        <v>2021.3</v>
      </c>
      <c r="L38" s="2206">
        <v>2022.3</v>
      </c>
      <c r="M38" s="2206">
        <v>2023.3</v>
      </c>
      <c r="N38" s="2206">
        <v>2024.3</v>
      </c>
      <c r="O38" s="2206">
        <v>2025.3</v>
      </c>
      <c r="P38" s="2306">
        <v>2026.3</v>
      </c>
      <c r="Q38" s="912" t="s">
        <v>638</v>
      </c>
      <c r="R38" s="1131"/>
      <c r="S38" s="1137"/>
      <c r="T38" s="147"/>
      <c r="U38" s="2556" t="str">
        <f>U7</f>
        <v>資源リサイクル
Resource Recycling</v>
      </c>
      <c r="V38" s="249" t="s">
        <v>69</v>
      </c>
      <c r="W38" s="163">
        <f t="shared" ref="W38:AG38" si="29">IF(W7="-","-",ROUNDDOWN(W7,-6))</f>
        <v>4670000000</v>
      </c>
      <c r="X38" s="163">
        <f t="shared" si="29"/>
        <v>4512000000</v>
      </c>
      <c r="Y38" s="163">
        <f t="shared" si="29"/>
        <v>5243000000</v>
      </c>
      <c r="Z38" s="163">
        <f t="shared" si="29"/>
        <v>4913000000</v>
      </c>
      <c r="AA38" s="163">
        <f t="shared" si="29"/>
        <v>4703000000</v>
      </c>
      <c r="AB38" s="164">
        <f t="shared" si="29"/>
        <v>4146000000</v>
      </c>
      <c r="AC38" s="164">
        <f t="shared" si="29"/>
        <v>5355000000</v>
      </c>
      <c r="AD38" s="164">
        <f t="shared" si="29"/>
        <v>5059000000</v>
      </c>
      <c r="AE38" s="164">
        <f t="shared" si="29"/>
        <v>5348000000</v>
      </c>
      <c r="AF38" s="164">
        <f t="shared" si="29"/>
        <v>5364000000</v>
      </c>
      <c r="AG38" s="267">
        <f t="shared" si="29"/>
        <v>5960000000</v>
      </c>
      <c r="AH38" s="193"/>
      <c r="AI38" s="268"/>
    </row>
    <row r="39" spans="1:46" ht="23.25" customHeight="1">
      <c r="A39" s="1131"/>
      <c r="B39" s="2506"/>
      <c r="C39" s="2506"/>
      <c r="D39" s="2506"/>
      <c r="E39" s="2506"/>
      <c r="F39" s="2207"/>
      <c r="G39" s="2207"/>
      <c r="H39" s="2207"/>
      <c r="I39" s="2207"/>
      <c r="J39" s="2207"/>
      <c r="K39" s="2207"/>
      <c r="L39" s="2207"/>
      <c r="M39" s="2207"/>
      <c r="N39" s="2207"/>
      <c r="O39" s="2207"/>
      <c r="P39" s="2450"/>
      <c r="Q39" s="646" t="s">
        <v>1151</v>
      </c>
      <c r="R39" s="1131"/>
      <c r="S39" s="1173"/>
      <c r="T39" s="76"/>
      <c r="U39" s="2557"/>
      <c r="V39" s="249" t="s">
        <v>144</v>
      </c>
      <c r="W39" s="163">
        <f t="shared" ref="W39:AG39" si="30">IF(W8="-","-",ROUNDDOWN(W8,-6))</f>
        <v>171000000</v>
      </c>
      <c r="X39" s="163">
        <f t="shared" si="30"/>
        <v>114000000</v>
      </c>
      <c r="Y39" s="163">
        <f t="shared" si="30"/>
        <v>604000000</v>
      </c>
      <c r="Z39" s="163">
        <f t="shared" si="30"/>
        <v>481000000</v>
      </c>
      <c r="AA39" s="163">
        <f t="shared" si="30"/>
        <v>334000000</v>
      </c>
      <c r="AB39" s="164">
        <f t="shared" si="30"/>
        <v>391000000</v>
      </c>
      <c r="AC39" s="164">
        <f t="shared" si="30"/>
        <v>930000000</v>
      </c>
      <c r="AD39" s="164">
        <f t="shared" si="30"/>
        <v>532000000</v>
      </c>
      <c r="AE39" s="164">
        <f t="shared" si="30"/>
        <v>477000000</v>
      </c>
      <c r="AF39" s="164">
        <f t="shared" si="30"/>
        <v>473000000</v>
      </c>
      <c r="AG39" s="267">
        <f t="shared" si="30"/>
        <v>301000000</v>
      </c>
      <c r="AH39" s="193"/>
      <c r="AI39" s="268"/>
    </row>
    <row r="40" spans="1:46" ht="17.100000000000001" customHeight="1" thickBot="1">
      <c r="A40" s="1131"/>
      <c r="B40" s="1724"/>
      <c r="C40" s="2559" t="s">
        <v>1243</v>
      </c>
      <c r="D40" s="2559"/>
      <c r="E40" s="2559"/>
      <c r="F40" s="1477">
        <f>W61</f>
        <v>14092</v>
      </c>
      <c r="G40" s="1477">
        <f t="shared" ref="F40:Q42" si="31">X61</f>
        <v>17542</v>
      </c>
      <c r="H40" s="1477">
        <f t="shared" si="31"/>
        <v>23707</v>
      </c>
      <c r="I40" s="1477">
        <f t="shared" si="31"/>
        <v>28940</v>
      </c>
      <c r="J40" s="1477">
        <f>AA61</f>
        <v>19842</v>
      </c>
      <c r="K40" s="1477">
        <f t="shared" si="31"/>
        <v>19213</v>
      </c>
      <c r="L40" s="1477">
        <f t="shared" si="31"/>
        <v>41642</v>
      </c>
      <c r="M40" s="1477">
        <f t="shared" si="31"/>
        <v>43020</v>
      </c>
      <c r="N40" s="1477">
        <f t="shared" si="31"/>
        <v>46880</v>
      </c>
      <c r="O40" s="1477">
        <f t="shared" si="31"/>
        <v>40033</v>
      </c>
      <c r="P40" s="1477">
        <f t="shared" si="31"/>
        <v>39467</v>
      </c>
      <c r="Q40" s="1419">
        <f t="shared" si="31"/>
        <v>-1.4138335872904806</v>
      </c>
      <c r="R40" s="1131"/>
      <c r="S40" s="1173"/>
      <c r="T40" s="76"/>
      <c r="U40" s="2558"/>
      <c r="V40" s="253" t="s">
        <v>70</v>
      </c>
      <c r="W40" s="156">
        <f t="shared" ref="W40:AG40" si="32">IF(OR(W39="-",W38="-"),"-",W9)</f>
        <v>3.6652563258643585</v>
      </c>
      <c r="X40" s="156">
        <f t="shared" si="32"/>
        <v>2.5483745259240171</v>
      </c>
      <c r="Y40" s="156">
        <f t="shared" si="32"/>
        <v>11.532538843893409</v>
      </c>
      <c r="Z40" s="156">
        <f t="shared" si="32"/>
        <v>9.7911105128847122</v>
      </c>
      <c r="AA40" s="156">
        <f t="shared" si="32"/>
        <v>7.1206903967374124</v>
      </c>
      <c r="AB40" s="156">
        <f t="shared" si="32"/>
        <v>9.4464883351578468</v>
      </c>
      <c r="AC40" s="156">
        <f t="shared" si="32"/>
        <v>17.380940599952226</v>
      </c>
      <c r="AD40" s="156">
        <f t="shared" si="32"/>
        <v>10.522259605111932</v>
      </c>
      <c r="AE40" s="156">
        <f t="shared" si="32"/>
        <v>8.9347516258190716</v>
      </c>
      <c r="AF40" s="156">
        <f t="shared" si="32"/>
        <v>8.823279725972009</v>
      </c>
      <c r="AG40" s="255">
        <f t="shared" si="32"/>
        <v>5.0592816603947588</v>
      </c>
      <c r="AH40" s="194"/>
      <c r="AI40" s="269"/>
    </row>
    <row r="41" spans="1:46" ht="17.100000000000001" customHeight="1" thickTop="1">
      <c r="A41" s="1131"/>
      <c r="B41" s="1724"/>
      <c r="C41" s="2540" t="s">
        <v>1244</v>
      </c>
      <c r="D41" s="2540"/>
      <c r="E41" s="2540"/>
      <c r="F41" s="1477">
        <f t="shared" si="31"/>
        <v>25108</v>
      </c>
      <c r="G41" s="1477">
        <f t="shared" si="31"/>
        <v>28473</v>
      </c>
      <c r="H41" s="1477">
        <f t="shared" si="31"/>
        <v>36367</v>
      </c>
      <c r="I41" s="1477">
        <f t="shared" si="31"/>
        <v>36247</v>
      </c>
      <c r="J41" s="1477">
        <f t="shared" si="31"/>
        <v>31108</v>
      </c>
      <c r="K41" s="1477">
        <f t="shared" si="31"/>
        <v>40260</v>
      </c>
      <c r="L41" s="1477">
        <f t="shared" si="31"/>
        <v>61003</v>
      </c>
      <c r="M41" s="1477">
        <f t="shared" si="31"/>
        <v>65192</v>
      </c>
      <c r="N41" s="1477">
        <f t="shared" si="31"/>
        <v>52100</v>
      </c>
      <c r="O41" s="1477">
        <f t="shared" si="31"/>
        <v>51025</v>
      </c>
      <c r="P41" s="1477">
        <f t="shared" si="31"/>
        <v>47600</v>
      </c>
      <c r="Q41" s="1419">
        <f t="shared" si="31"/>
        <v>-6.7123958843704035</v>
      </c>
      <c r="R41" s="1131"/>
      <c r="S41" s="1131"/>
      <c r="U41" s="2556" t="str">
        <f>U10</f>
        <v>プラントリサイクル
Industrial Plant Recycling</v>
      </c>
      <c r="V41" s="249" t="s">
        <v>69</v>
      </c>
      <c r="W41" s="163" t="str">
        <f t="shared" ref="W41:AG41" si="33">IF(W10="-","-",ROUNDDOWN(W10,-6))</f>
        <v>-</v>
      </c>
      <c r="X41" s="163" t="str">
        <f t="shared" si="33"/>
        <v>-</v>
      </c>
      <c r="Y41" s="163" t="str">
        <f t="shared" si="33"/>
        <v>-</v>
      </c>
      <c r="Z41" s="163" t="str">
        <f t="shared" si="33"/>
        <v>-</v>
      </c>
      <c r="AA41" s="163">
        <f t="shared" si="33"/>
        <v>460000000</v>
      </c>
      <c r="AB41" s="163">
        <f t="shared" si="33"/>
        <v>685000000</v>
      </c>
      <c r="AC41" s="164">
        <f t="shared" si="33"/>
        <v>1885000000</v>
      </c>
      <c r="AD41" s="164">
        <f t="shared" si="33"/>
        <v>3925000000</v>
      </c>
      <c r="AE41" s="164">
        <f t="shared" si="33"/>
        <v>5181000000</v>
      </c>
      <c r="AF41" s="164">
        <f t="shared" si="33"/>
        <v>3046000000</v>
      </c>
      <c r="AG41" s="267">
        <f t="shared" si="33"/>
        <v>4335000000</v>
      </c>
      <c r="AH41" s="193"/>
      <c r="AI41" s="268"/>
    </row>
    <row r="42" spans="1:46" ht="17.100000000000001" customHeight="1">
      <c r="A42" s="1131"/>
      <c r="B42" s="1725"/>
      <c r="C42" s="2541" t="s">
        <v>1245</v>
      </c>
      <c r="D42" s="2541"/>
      <c r="E42" s="2541"/>
      <c r="F42" s="1478">
        <f t="shared" si="31"/>
        <v>18847.333333333332</v>
      </c>
      <c r="G42" s="1478">
        <f t="shared" si="31"/>
        <v>22086</v>
      </c>
      <c r="H42" s="1478">
        <f t="shared" si="31"/>
        <v>30822</v>
      </c>
      <c r="I42" s="1478">
        <f t="shared" si="31"/>
        <v>32990</v>
      </c>
      <c r="J42" s="1478">
        <f t="shared" si="31"/>
        <v>24727</v>
      </c>
      <c r="K42" s="1478">
        <f t="shared" si="31"/>
        <v>28922</v>
      </c>
      <c r="L42" s="1478">
        <f t="shared" si="31"/>
        <v>51336</v>
      </c>
      <c r="M42" s="1478">
        <f t="shared" si="31"/>
        <v>51651</v>
      </c>
      <c r="N42" s="1478">
        <f t="shared" si="31"/>
        <v>49884</v>
      </c>
      <c r="O42" s="1478">
        <f t="shared" si="31"/>
        <v>44357</v>
      </c>
      <c r="P42" s="1478">
        <f t="shared" si="31"/>
        <v>41935</v>
      </c>
      <c r="Q42" s="1421">
        <f t="shared" si="31"/>
        <v>-5.4602430281578958</v>
      </c>
      <c r="R42" s="1131"/>
      <c r="S42" s="1131"/>
      <c r="U42" s="2557"/>
      <c r="V42" s="249" t="s">
        <v>144</v>
      </c>
      <c r="W42" s="163" t="str">
        <f t="shared" ref="W42:AG42" si="34">IF(W11="-","-",ROUNDDOWN(W11,-6))</f>
        <v>-</v>
      </c>
      <c r="X42" s="163" t="str">
        <f t="shared" si="34"/>
        <v>-</v>
      </c>
      <c r="Y42" s="163" t="str">
        <f t="shared" si="34"/>
        <v>-</v>
      </c>
      <c r="Z42" s="163" t="str">
        <f t="shared" si="34"/>
        <v>-</v>
      </c>
      <c r="AA42" s="163">
        <f t="shared" si="34"/>
        <v>-25000000</v>
      </c>
      <c r="AB42" s="163">
        <f t="shared" si="34"/>
        <v>-15000000</v>
      </c>
      <c r="AC42" s="164">
        <f t="shared" si="34"/>
        <v>211000000</v>
      </c>
      <c r="AD42" s="164">
        <f t="shared" si="34"/>
        <v>801000000</v>
      </c>
      <c r="AE42" s="164">
        <f t="shared" si="34"/>
        <v>686000000</v>
      </c>
      <c r="AF42" s="164">
        <f t="shared" si="34"/>
        <v>69000000</v>
      </c>
      <c r="AG42" s="267">
        <f t="shared" si="34"/>
        <v>372000000</v>
      </c>
      <c r="AH42" s="193"/>
      <c r="AI42" s="268"/>
    </row>
    <row r="43" spans="1:46" ht="27" customHeight="1">
      <c r="A43" s="1131"/>
      <c r="B43" s="1219" t="s">
        <v>1718</v>
      </c>
      <c r="C43" s="1131"/>
      <c r="D43" s="1131"/>
      <c r="E43" s="1131"/>
      <c r="F43" s="1131"/>
      <c r="G43" s="1131"/>
      <c r="H43" s="1131"/>
      <c r="I43" s="1131"/>
      <c r="J43" s="1131"/>
      <c r="K43" s="1131"/>
      <c r="L43" s="1131"/>
      <c r="M43" s="1131"/>
      <c r="N43" s="1131"/>
      <c r="O43" s="1131"/>
      <c r="P43" s="1131"/>
      <c r="Q43" s="1131"/>
      <c r="R43" s="1131"/>
      <c r="S43" s="1131"/>
      <c r="U43" s="2558"/>
      <c r="V43" s="253" t="s">
        <v>70</v>
      </c>
      <c r="W43" s="156" t="str">
        <f t="shared" ref="W43:AG43" si="35">IF(OR(W42="-",W41="-"),"-",W12)</f>
        <v>-</v>
      </c>
      <c r="X43" s="156" t="str">
        <f t="shared" si="35"/>
        <v>-</v>
      </c>
      <c r="Y43" s="156" t="str">
        <f t="shared" si="35"/>
        <v>-</v>
      </c>
      <c r="Z43" s="156" t="str">
        <f t="shared" si="35"/>
        <v>-</v>
      </c>
      <c r="AA43" s="156">
        <f t="shared" si="35"/>
        <v>-5.4987568191827156</v>
      </c>
      <c r="AB43" s="156">
        <f t="shared" si="35"/>
        <v>-2.2443663778917493</v>
      </c>
      <c r="AC43" s="156">
        <f t="shared" si="35"/>
        <v>11.22982481939702</v>
      </c>
      <c r="AD43" s="156">
        <f t="shared" si="35"/>
        <v>20.415016900302337</v>
      </c>
      <c r="AE43" s="156">
        <f t="shared" si="35"/>
        <v>13.252175227386193</v>
      </c>
      <c r="AF43" s="156">
        <f t="shared" si="35"/>
        <v>2.2795148981190496</v>
      </c>
      <c r="AG43" s="255">
        <f t="shared" si="35"/>
        <v>8.584094784541243</v>
      </c>
      <c r="AH43" s="194"/>
      <c r="AI43" s="269"/>
    </row>
    <row r="44" spans="1:46" ht="16.5" customHeight="1">
      <c r="A44" s="1131"/>
      <c r="B44" s="1131"/>
      <c r="C44" s="1131"/>
      <c r="D44" s="1131"/>
      <c r="E44" s="1131"/>
      <c r="F44" s="1131"/>
      <c r="G44" s="1131"/>
      <c r="H44" s="1131"/>
      <c r="I44" s="1131"/>
      <c r="J44" s="1131"/>
      <c r="K44" s="1131"/>
      <c r="L44" s="1131"/>
      <c r="M44" s="1131"/>
      <c r="N44" s="1131"/>
      <c r="O44" s="1131"/>
      <c r="P44" s="1131"/>
      <c r="Q44" s="1131"/>
      <c r="R44" s="1131"/>
      <c r="S44" s="1131"/>
      <c r="U44" s="2551" t="s">
        <v>1222</v>
      </c>
      <c r="V44" s="1731" t="s">
        <v>69</v>
      </c>
      <c r="W44" s="163">
        <f t="shared" ref="W44:AG44" si="36">IF(W13="-","-",ROUNDDOWN(W13,-6))</f>
        <v>4670000000</v>
      </c>
      <c r="X44" s="163">
        <f t="shared" si="36"/>
        <v>4512000000</v>
      </c>
      <c r="Y44" s="163">
        <f t="shared" si="36"/>
        <v>5243000000</v>
      </c>
      <c r="Z44" s="163">
        <f t="shared" si="36"/>
        <v>4913000000</v>
      </c>
      <c r="AA44" s="163">
        <f t="shared" si="36"/>
        <v>5163000000</v>
      </c>
      <c r="AB44" s="163">
        <f t="shared" si="36"/>
        <v>4831000000</v>
      </c>
      <c r="AC44" s="163">
        <f t="shared" si="36"/>
        <v>7241000000</v>
      </c>
      <c r="AD44" s="163">
        <f t="shared" si="36"/>
        <v>8985000000</v>
      </c>
      <c r="AE44" s="163">
        <f t="shared" si="36"/>
        <v>10529000000</v>
      </c>
      <c r="AF44" s="163">
        <f t="shared" si="36"/>
        <v>8410000000</v>
      </c>
      <c r="AG44" s="267">
        <f t="shared" si="36"/>
        <v>10296000000</v>
      </c>
      <c r="AH44" s="193"/>
      <c r="AI44" s="268"/>
    </row>
    <row r="45" spans="1:46" ht="24" customHeight="1">
      <c r="A45" s="1131"/>
      <c r="S45" s="1131"/>
      <c r="U45" s="2552"/>
      <c r="V45" s="258" t="s">
        <v>144</v>
      </c>
      <c r="W45" s="163">
        <f t="shared" ref="W45:AG45" si="37">IF(W14="-","-",ROUNDDOWN(W14,-6))</f>
        <v>171000000</v>
      </c>
      <c r="X45" s="163">
        <f t="shared" si="37"/>
        <v>114000000</v>
      </c>
      <c r="Y45" s="163">
        <f t="shared" si="37"/>
        <v>604000000</v>
      </c>
      <c r="Z45" s="163">
        <f t="shared" si="37"/>
        <v>481000000</v>
      </c>
      <c r="AA45" s="163">
        <f t="shared" si="37"/>
        <v>309000000</v>
      </c>
      <c r="AB45" s="163">
        <f t="shared" si="37"/>
        <v>376000000</v>
      </c>
      <c r="AC45" s="163">
        <f t="shared" si="37"/>
        <v>1142000000</v>
      </c>
      <c r="AD45" s="163">
        <f t="shared" si="37"/>
        <v>1333000000</v>
      </c>
      <c r="AE45" s="163">
        <f t="shared" si="37"/>
        <v>1164000000</v>
      </c>
      <c r="AF45" s="163">
        <f t="shared" si="37"/>
        <v>542000000</v>
      </c>
      <c r="AG45" s="267">
        <f t="shared" si="37"/>
        <v>673000000</v>
      </c>
      <c r="AH45" s="193"/>
      <c r="AI45" s="268"/>
    </row>
    <row r="46" spans="1:46" ht="18.95" customHeight="1">
      <c r="A46" s="1131"/>
      <c r="S46" s="1131"/>
      <c r="U46" s="2552"/>
      <c r="V46" s="258" t="s">
        <v>70</v>
      </c>
      <c r="W46" s="156">
        <f t="shared" ref="W46:AG46" si="38">IF(OR(W45="-",W44="-"),"-",W15)</f>
        <v>3.6652563258643585</v>
      </c>
      <c r="X46" s="1741">
        <f t="shared" si="38"/>
        <v>2.5483745259240171</v>
      </c>
      <c r="Y46" s="1741">
        <f t="shared" si="38"/>
        <v>11.532538843893409</v>
      </c>
      <c r="Z46" s="1741">
        <f t="shared" si="38"/>
        <v>9.7911105128847122</v>
      </c>
      <c r="AA46" s="1741">
        <f t="shared" si="38"/>
        <v>5.995616989690868</v>
      </c>
      <c r="AB46" s="1741">
        <f t="shared" si="38"/>
        <v>7.7886273496570997</v>
      </c>
      <c r="AC46" s="1741">
        <f t="shared" si="38"/>
        <v>15.779315212157707</v>
      </c>
      <c r="AD46" s="1741">
        <f t="shared" si="38"/>
        <v>14.844602599134097</v>
      </c>
      <c r="AE46" s="1741">
        <f t="shared" si="38"/>
        <v>11.059318635728371</v>
      </c>
      <c r="AF46" s="1741">
        <f t="shared" si="38"/>
        <v>6.4532803824080123</v>
      </c>
      <c r="AG46" s="1742">
        <f t="shared" si="38"/>
        <v>6.5434416016679817</v>
      </c>
      <c r="AH46" s="193"/>
      <c r="AI46" s="268"/>
    </row>
    <row r="47" spans="1:46" ht="12" customHeight="1">
      <c r="A47" s="1131"/>
      <c r="S47" s="1131"/>
      <c r="U47" s="2553"/>
      <c r="V47" s="1747"/>
      <c r="W47" s="1748"/>
      <c r="X47" s="1748"/>
      <c r="Y47" s="1748"/>
      <c r="Z47" s="1748"/>
      <c r="AA47" s="1748"/>
      <c r="AB47" s="1748"/>
      <c r="AC47" s="1748"/>
      <c r="AD47" s="1748"/>
      <c r="AE47" s="1748"/>
      <c r="AF47" s="1748"/>
      <c r="AG47" s="1749"/>
      <c r="AH47" s="1750"/>
      <c r="AI47" s="1750"/>
    </row>
    <row r="48" spans="1:46" ht="12" customHeight="1">
      <c r="A48" s="1131"/>
      <c r="S48" s="1131"/>
      <c r="U48" s="2554"/>
      <c r="V48" s="1743"/>
      <c r="W48" s="1744"/>
      <c r="X48" s="1744"/>
      <c r="Y48" s="1744"/>
      <c r="Z48" s="1744"/>
      <c r="AA48" s="1744"/>
      <c r="AB48" s="1744"/>
      <c r="AC48" s="1744"/>
      <c r="AD48" s="1744"/>
      <c r="AE48" s="1744"/>
      <c r="AF48" s="1744"/>
      <c r="AG48" s="1745"/>
      <c r="AH48" s="170"/>
      <c r="AI48" s="170"/>
    </row>
    <row r="49" spans="1:154" ht="12" customHeight="1">
      <c r="A49" s="1131"/>
      <c r="S49" s="1131"/>
      <c r="U49" s="2554"/>
      <c r="V49" s="1743"/>
      <c r="W49" s="170"/>
      <c r="X49" s="170"/>
      <c r="Y49" s="170"/>
      <c r="Z49" s="170"/>
      <c r="AA49" s="170"/>
      <c r="AB49" s="170"/>
      <c r="AC49" s="170"/>
      <c r="AD49" s="170"/>
      <c r="AE49" s="170"/>
      <c r="AF49" s="170"/>
      <c r="AG49" s="170"/>
      <c r="AH49" s="170"/>
      <c r="AI49" s="170"/>
    </row>
    <row r="50" spans="1:154" ht="12" customHeight="1">
      <c r="A50" s="1131"/>
      <c r="S50" s="1131"/>
      <c r="U50" s="2555"/>
      <c r="V50" s="1746"/>
      <c r="W50" s="1744"/>
      <c r="X50" s="1744"/>
      <c r="Y50" s="1744"/>
      <c r="Z50" s="1744"/>
      <c r="AA50" s="1744"/>
      <c r="AB50" s="1745"/>
      <c r="AC50" s="1745"/>
      <c r="AD50" s="1745"/>
      <c r="AE50" s="1745"/>
      <c r="AF50" s="1745"/>
      <c r="AG50" s="1745"/>
      <c r="AH50" s="170"/>
      <c r="AI50" s="170"/>
    </row>
    <row r="51" spans="1:154" ht="12.95" customHeight="1">
      <c r="A51" s="1131"/>
      <c r="S51" s="1131"/>
      <c r="U51" s="2555"/>
      <c r="V51" s="1746"/>
      <c r="W51" s="1744"/>
      <c r="X51" s="1744"/>
      <c r="Y51" s="1744"/>
      <c r="Z51" s="1744"/>
      <c r="AA51" s="1744"/>
      <c r="AB51" s="1745"/>
      <c r="AC51" s="1745"/>
      <c r="AD51" s="1745"/>
      <c r="AE51" s="1745"/>
      <c r="AF51" s="1745"/>
      <c r="AG51" s="1745"/>
      <c r="AH51" s="170"/>
      <c r="AI51" s="170"/>
    </row>
    <row r="52" spans="1:154" ht="12.95" customHeight="1">
      <c r="A52" s="1131"/>
      <c r="B52" s="1131"/>
      <c r="C52" s="1131"/>
      <c r="D52" s="1131"/>
      <c r="E52" s="1131"/>
      <c r="F52" s="1131"/>
      <c r="G52" s="1131"/>
      <c r="H52" s="1131"/>
      <c r="I52" s="1131"/>
      <c r="J52" s="1131"/>
      <c r="K52" s="1131"/>
      <c r="L52" s="1131"/>
      <c r="M52" s="1131"/>
      <c r="N52" s="1131"/>
      <c r="O52" s="1131"/>
      <c r="P52" s="1131"/>
      <c r="Q52" s="1131"/>
      <c r="R52" s="1131"/>
      <c r="S52" s="1131"/>
      <c r="U52" s="2555"/>
      <c r="V52" s="1746"/>
      <c r="W52" s="170"/>
      <c r="X52" s="170"/>
      <c r="Y52" s="170"/>
      <c r="Z52" s="170"/>
      <c r="AA52" s="170"/>
      <c r="AB52" s="170"/>
      <c r="AC52" s="170"/>
      <c r="AD52" s="170"/>
      <c r="AE52" s="170"/>
      <c r="AF52" s="170"/>
      <c r="AG52" s="170"/>
      <c r="AH52" s="170"/>
      <c r="AI52" s="170"/>
    </row>
    <row r="53" spans="1:154" ht="12.95" customHeight="1">
      <c r="A53" s="1131"/>
      <c r="B53" s="1131"/>
      <c r="C53" s="1131"/>
      <c r="D53" s="1131"/>
      <c r="E53" s="1131"/>
      <c r="F53" s="1131"/>
      <c r="G53" s="1131"/>
      <c r="H53" s="1131"/>
      <c r="I53" s="1131"/>
      <c r="J53" s="1131"/>
      <c r="K53" s="1131"/>
      <c r="L53" s="1131"/>
      <c r="M53" s="1131"/>
      <c r="N53" s="1131"/>
      <c r="O53" s="1131"/>
      <c r="P53" s="1131"/>
      <c r="Q53" s="1131"/>
      <c r="R53" s="1131"/>
      <c r="S53" s="1131"/>
    </row>
    <row r="54" spans="1:154" ht="9.9499999999999993" customHeight="1">
      <c r="A54" s="1131"/>
      <c r="B54" s="1131"/>
      <c r="C54" s="1131"/>
      <c r="D54" s="1131"/>
      <c r="E54" s="1131"/>
      <c r="F54" s="1131"/>
      <c r="G54" s="1131"/>
      <c r="H54" s="1131"/>
      <c r="I54" s="1131"/>
      <c r="J54" s="1131"/>
      <c r="K54" s="1131"/>
      <c r="L54" s="1131"/>
      <c r="M54" s="1131"/>
      <c r="N54" s="1131"/>
      <c r="O54" s="1131"/>
      <c r="P54" s="1131"/>
      <c r="Q54" s="1131"/>
      <c r="R54" s="1131"/>
      <c r="S54" s="1131"/>
    </row>
    <row r="55" spans="1:154" ht="16.5">
      <c r="A55" s="1131"/>
      <c r="B55" s="1131"/>
      <c r="C55" s="1131"/>
      <c r="D55" s="1131"/>
      <c r="E55" s="1131"/>
      <c r="F55" s="1131"/>
      <c r="G55" s="1131"/>
      <c r="H55" s="1131"/>
      <c r="I55" s="1131"/>
      <c r="J55" s="1131"/>
      <c r="K55" s="1131"/>
      <c r="L55" s="1131"/>
      <c r="M55" s="1131"/>
      <c r="N55" s="1131"/>
      <c r="O55" s="1131"/>
      <c r="P55" s="1131"/>
      <c r="Q55" s="1131"/>
      <c r="R55" s="1131"/>
      <c r="S55" s="1131"/>
      <c r="U55" s="1483" t="s">
        <v>945</v>
      </c>
      <c r="V55" s="167" t="s">
        <v>1705</v>
      </c>
    </row>
    <row r="56" spans="1:154" ht="16.5">
      <c r="A56" s="1131"/>
      <c r="B56" s="1131"/>
      <c r="C56" s="1131"/>
      <c r="D56" s="1131"/>
      <c r="E56" s="1131"/>
      <c r="F56" s="1131"/>
      <c r="G56" s="1131"/>
      <c r="H56" s="1131"/>
      <c r="I56" s="1131"/>
      <c r="J56" s="1131"/>
      <c r="K56" s="1131"/>
      <c r="L56" s="1131"/>
      <c r="M56" s="1131"/>
      <c r="N56" s="1131"/>
      <c r="O56" s="1131"/>
      <c r="P56" s="1131"/>
      <c r="Q56" s="1131"/>
      <c r="R56" s="1131"/>
      <c r="S56" s="1131"/>
      <c r="U56" s="1736" t="s">
        <v>946</v>
      </c>
      <c r="V56" s="2159" t="s">
        <v>302</v>
      </c>
      <c r="W56" s="2159" t="s">
        <v>303</v>
      </c>
      <c r="X56" s="2159" t="s">
        <v>304</v>
      </c>
      <c r="Y56" s="2159" t="s">
        <v>305</v>
      </c>
      <c r="Z56" s="2159" t="s">
        <v>306</v>
      </c>
      <c r="AA56" s="2159" t="s">
        <v>307</v>
      </c>
      <c r="AB56" s="2159" t="s">
        <v>308</v>
      </c>
      <c r="AC56" s="2159" t="s">
        <v>309</v>
      </c>
      <c r="AD56" s="2159" t="s">
        <v>310</v>
      </c>
      <c r="AE56" s="2159" t="s">
        <v>311</v>
      </c>
      <c r="AF56" s="2159" t="s">
        <v>312</v>
      </c>
      <c r="AG56" s="2159" t="s">
        <v>313</v>
      </c>
      <c r="AH56" s="2159" t="s">
        <v>302</v>
      </c>
      <c r="AI56" s="2159" t="s">
        <v>303</v>
      </c>
      <c r="AJ56" s="2159" t="s">
        <v>304</v>
      </c>
      <c r="AK56" s="2159" t="s">
        <v>305</v>
      </c>
      <c r="AL56" s="2159" t="s">
        <v>306</v>
      </c>
      <c r="AM56" s="2159" t="s">
        <v>307</v>
      </c>
      <c r="AN56" s="2159" t="s">
        <v>308</v>
      </c>
      <c r="AO56" s="2159" t="s">
        <v>309</v>
      </c>
      <c r="AP56" s="2159" t="s">
        <v>310</v>
      </c>
      <c r="AQ56" s="2159" t="s">
        <v>311</v>
      </c>
      <c r="AR56" s="2159" t="s">
        <v>312</v>
      </c>
      <c r="AS56" s="2159" t="s">
        <v>313</v>
      </c>
      <c r="AT56" s="2159" t="s">
        <v>302</v>
      </c>
      <c r="AU56" s="2159" t="s">
        <v>303</v>
      </c>
      <c r="AV56" s="2159" t="s">
        <v>304</v>
      </c>
      <c r="AW56" s="2159" t="s">
        <v>305</v>
      </c>
      <c r="AX56" s="2159" t="s">
        <v>306</v>
      </c>
      <c r="AY56" s="2159" t="s">
        <v>307</v>
      </c>
      <c r="AZ56" s="2159" t="s">
        <v>308</v>
      </c>
      <c r="BA56" s="2159" t="s">
        <v>309</v>
      </c>
      <c r="BB56" s="2159" t="s">
        <v>310</v>
      </c>
      <c r="BC56" s="2159" t="s">
        <v>311</v>
      </c>
      <c r="BD56" s="2159" t="s">
        <v>312</v>
      </c>
      <c r="BE56" s="2159" t="s">
        <v>313</v>
      </c>
      <c r="BF56" s="2159" t="s">
        <v>302</v>
      </c>
      <c r="BG56" s="2159" t="s">
        <v>303</v>
      </c>
      <c r="BH56" s="2159" t="s">
        <v>304</v>
      </c>
      <c r="BI56" s="2159" t="s">
        <v>305</v>
      </c>
      <c r="BJ56" s="2159" t="s">
        <v>306</v>
      </c>
      <c r="BK56" s="2159" t="s">
        <v>307</v>
      </c>
      <c r="BL56" s="2159" t="s">
        <v>308</v>
      </c>
      <c r="BM56" s="2159" t="s">
        <v>309</v>
      </c>
      <c r="BN56" s="2159" t="s">
        <v>310</v>
      </c>
      <c r="BO56" s="2159" t="s">
        <v>311</v>
      </c>
      <c r="BP56" s="2159" t="s">
        <v>312</v>
      </c>
      <c r="BQ56" s="2159" t="s">
        <v>313</v>
      </c>
      <c r="BR56" s="2159" t="s">
        <v>302</v>
      </c>
      <c r="BS56" s="2159" t="s">
        <v>303</v>
      </c>
      <c r="BT56" s="2159" t="s">
        <v>304</v>
      </c>
      <c r="BU56" s="2159" t="s">
        <v>305</v>
      </c>
      <c r="BV56" s="2159" t="s">
        <v>306</v>
      </c>
      <c r="BW56" s="2159" t="s">
        <v>307</v>
      </c>
      <c r="BX56" s="2159" t="s">
        <v>308</v>
      </c>
      <c r="BY56" s="2159" t="s">
        <v>309</v>
      </c>
      <c r="BZ56" s="2159" t="s">
        <v>310</v>
      </c>
      <c r="CA56" s="2159" t="s">
        <v>311</v>
      </c>
      <c r="CB56" s="2159" t="s">
        <v>312</v>
      </c>
      <c r="CC56" s="2159" t="s">
        <v>313</v>
      </c>
      <c r="CD56" s="2159" t="s">
        <v>302</v>
      </c>
      <c r="CE56" s="2159" t="s">
        <v>303</v>
      </c>
      <c r="CF56" s="2159" t="s">
        <v>304</v>
      </c>
      <c r="CG56" s="2159" t="s">
        <v>305</v>
      </c>
      <c r="CH56" s="2159" t="s">
        <v>306</v>
      </c>
      <c r="CI56" s="2159" t="s">
        <v>307</v>
      </c>
      <c r="CJ56" s="2159" t="s">
        <v>308</v>
      </c>
      <c r="CK56" s="2159" t="s">
        <v>309</v>
      </c>
      <c r="CL56" s="2159" t="s">
        <v>310</v>
      </c>
      <c r="CM56" s="2159" t="s">
        <v>311</v>
      </c>
      <c r="CN56" s="2159" t="s">
        <v>312</v>
      </c>
      <c r="CO56" s="2159" t="s">
        <v>313</v>
      </c>
      <c r="CP56" s="2159" t="s">
        <v>302</v>
      </c>
      <c r="CQ56" s="2159" t="s">
        <v>303</v>
      </c>
      <c r="CR56" s="2159" t="s">
        <v>304</v>
      </c>
      <c r="CS56" s="2159" t="s">
        <v>305</v>
      </c>
      <c r="CT56" s="2159" t="s">
        <v>306</v>
      </c>
      <c r="CU56" s="2159" t="s">
        <v>307</v>
      </c>
      <c r="CV56" s="2159" t="s">
        <v>308</v>
      </c>
      <c r="CW56" s="2159" t="s">
        <v>309</v>
      </c>
      <c r="CX56" s="2159" t="s">
        <v>310</v>
      </c>
      <c r="CY56" s="2159" t="s">
        <v>311</v>
      </c>
      <c r="CZ56" s="2159" t="s">
        <v>312</v>
      </c>
      <c r="DA56" s="2159" t="s">
        <v>313</v>
      </c>
      <c r="DB56" s="2159" t="s">
        <v>302</v>
      </c>
      <c r="DC56" s="2159" t="s">
        <v>303</v>
      </c>
      <c r="DD56" s="2159" t="s">
        <v>304</v>
      </c>
      <c r="DE56" s="2159" t="s">
        <v>305</v>
      </c>
      <c r="DF56" s="2159" t="s">
        <v>306</v>
      </c>
      <c r="DG56" s="2159" t="s">
        <v>307</v>
      </c>
      <c r="DH56" s="2159" t="s">
        <v>308</v>
      </c>
      <c r="DI56" s="2159" t="s">
        <v>309</v>
      </c>
      <c r="DJ56" s="2159" t="s">
        <v>310</v>
      </c>
      <c r="DK56" s="2159" t="s">
        <v>311</v>
      </c>
      <c r="DL56" s="2159" t="s">
        <v>312</v>
      </c>
      <c r="DM56" s="2159" t="s">
        <v>313</v>
      </c>
      <c r="DN56" s="2159" t="s">
        <v>302</v>
      </c>
      <c r="DO56" s="2159" t="s">
        <v>303</v>
      </c>
      <c r="DP56" s="2159" t="s">
        <v>304</v>
      </c>
      <c r="DQ56" s="2159" t="s">
        <v>305</v>
      </c>
      <c r="DR56" s="2159" t="s">
        <v>306</v>
      </c>
      <c r="DS56" s="2159" t="s">
        <v>307</v>
      </c>
      <c r="DT56" s="2159" t="s">
        <v>308</v>
      </c>
      <c r="DU56" s="2159" t="s">
        <v>309</v>
      </c>
      <c r="DV56" s="2159" t="s">
        <v>310</v>
      </c>
      <c r="DW56" s="2159" t="s">
        <v>311</v>
      </c>
      <c r="DX56" s="2159" t="s">
        <v>312</v>
      </c>
      <c r="DY56" s="2159" t="s">
        <v>313</v>
      </c>
      <c r="DZ56" s="2159" t="s">
        <v>302</v>
      </c>
      <c r="EA56" s="2159" t="s">
        <v>303</v>
      </c>
      <c r="EB56" s="2159" t="s">
        <v>304</v>
      </c>
      <c r="EC56" s="2159" t="s">
        <v>305</v>
      </c>
      <c r="ED56" s="2159" t="s">
        <v>306</v>
      </c>
      <c r="EE56" s="2159" t="s">
        <v>307</v>
      </c>
      <c r="EF56" s="2159" t="s">
        <v>308</v>
      </c>
      <c r="EG56" s="2159" t="s">
        <v>309</v>
      </c>
      <c r="EH56" s="2159" t="s">
        <v>310</v>
      </c>
      <c r="EI56" s="2159" t="s">
        <v>311</v>
      </c>
      <c r="EJ56" s="2159" t="s">
        <v>312</v>
      </c>
      <c r="EK56" s="2159" t="s">
        <v>313</v>
      </c>
      <c r="EL56" s="2159" t="s">
        <v>302</v>
      </c>
      <c r="EM56" s="2159" t="s">
        <v>303</v>
      </c>
      <c r="EN56" s="2159" t="s">
        <v>304</v>
      </c>
      <c r="EO56" s="2159" t="s">
        <v>305</v>
      </c>
      <c r="EP56" s="2159" t="s">
        <v>306</v>
      </c>
      <c r="EQ56" s="2159" t="s">
        <v>307</v>
      </c>
      <c r="ER56" s="2159" t="s">
        <v>308</v>
      </c>
      <c r="ES56" s="2159" t="s">
        <v>309</v>
      </c>
      <c r="ET56" s="2159" t="s">
        <v>310</v>
      </c>
      <c r="EU56" s="2159" t="s">
        <v>311</v>
      </c>
      <c r="EV56" s="2159" t="s">
        <v>312</v>
      </c>
      <c r="EW56" s="2159" t="s">
        <v>313</v>
      </c>
      <c r="EX56" s="2165" t="s">
        <v>1746</v>
      </c>
    </row>
    <row r="57" spans="1:154" ht="16.5">
      <c r="A57" s="1131"/>
      <c r="B57" s="1131"/>
      <c r="C57" s="1131"/>
      <c r="D57" s="1131"/>
      <c r="E57" s="1131"/>
      <c r="F57" s="1131"/>
      <c r="G57" s="1131"/>
      <c r="H57" s="1131"/>
      <c r="I57" s="1131"/>
      <c r="J57" s="1131"/>
      <c r="K57" s="1131"/>
      <c r="L57" s="1131"/>
      <c r="M57" s="1131"/>
      <c r="N57" s="1131"/>
      <c r="O57" s="1131"/>
      <c r="P57" s="1131"/>
      <c r="Q57" s="1131"/>
      <c r="R57" s="1131"/>
      <c r="S57" s="1131"/>
      <c r="U57" s="1736" t="s">
        <v>947</v>
      </c>
      <c r="V57" s="2161">
        <v>2015</v>
      </c>
      <c r="W57" s="2161">
        <v>2015</v>
      </c>
      <c r="X57" s="2161">
        <v>2015</v>
      </c>
      <c r="Y57" s="2161">
        <v>2015</v>
      </c>
      <c r="Z57" s="2161">
        <v>2015</v>
      </c>
      <c r="AA57" s="2161">
        <v>2015</v>
      </c>
      <c r="AB57" s="2161">
        <v>2015</v>
      </c>
      <c r="AC57" s="2161">
        <v>2015</v>
      </c>
      <c r="AD57" s="2161">
        <v>2015</v>
      </c>
      <c r="AE57" s="2161">
        <v>2016</v>
      </c>
      <c r="AF57" s="2161">
        <v>2016</v>
      </c>
      <c r="AG57" s="2161">
        <v>2016</v>
      </c>
      <c r="AH57" s="2160">
        <v>2016</v>
      </c>
      <c r="AI57" s="2160">
        <v>2016</v>
      </c>
      <c r="AJ57" s="2160">
        <v>2016</v>
      </c>
      <c r="AK57" s="2160">
        <v>2016</v>
      </c>
      <c r="AL57" s="2160">
        <v>2016</v>
      </c>
      <c r="AM57" s="2160">
        <v>2016</v>
      </c>
      <c r="AN57" s="2160">
        <v>2016</v>
      </c>
      <c r="AO57" s="2160">
        <v>2016</v>
      </c>
      <c r="AP57" s="2160">
        <v>2016</v>
      </c>
      <c r="AQ57" s="2160">
        <v>2017</v>
      </c>
      <c r="AR57" s="2160">
        <v>2017</v>
      </c>
      <c r="AS57" s="2160">
        <v>2017</v>
      </c>
      <c r="AT57" s="2161">
        <v>2017</v>
      </c>
      <c r="AU57" s="2161">
        <v>2017</v>
      </c>
      <c r="AV57" s="2161">
        <v>2017</v>
      </c>
      <c r="AW57" s="2161">
        <v>2017</v>
      </c>
      <c r="AX57" s="2161">
        <v>2017</v>
      </c>
      <c r="AY57" s="2161">
        <v>2017</v>
      </c>
      <c r="AZ57" s="2161">
        <v>2017</v>
      </c>
      <c r="BA57" s="2161">
        <v>2017</v>
      </c>
      <c r="BB57" s="2161">
        <v>2017</v>
      </c>
      <c r="BC57" s="2161">
        <v>2018</v>
      </c>
      <c r="BD57" s="2161">
        <v>2018</v>
      </c>
      <c r="BE57" s="2161">
        <v>2018</v>
      </c>
      <c r="BF57" s="2160">
        <v>2018</v>
      </c>
      <c r="BG57" s="2160">
        <v>2018</v>
      </c>
      <c r="BH57" s="2160">
        <v>2018</v>
      </c>
      <c r="BI57" s="2160">
        <v>2018</v>
      </c>
      <c r="BJ57" s="2160">
        <v>2018</v>
      </c>
      <c r="BK57" s="2160">
        <v>2018</v>
      </c>
      <c r="BL57" s="2160">
        <v>2018</v>
      </c>
      <c r="BM57" s="2160">
        <v>2018</v>
      </c>
      <c r="BN57" s="2160">
        <v>2018</v>
      </c>
      <c r="BO57" s="2160">
        <v>2019</v>
      </c>
      <c r="BP57" s="2160">
        <v>2019</v>
      </c>
      <c r="BQ57" s="2160">
        <v>2019</v>
      </c>
      <c r="BR57" s="2161">
        <v>2019</v>
      </c>
      <c r="BS57" s="2161">
        <v>2019</v>
      </c>
      <c r="BT57" s="2161">
        <v>2019</v>
      </c>
      <c r="BU57" s="2161">
        <v>2019</v>
      </c>
      <c r="BV57" s="2161">
        <v>2019</v>
      </c>
      <c r="BW57" s="2161">
        <v>2019</v>
      </c>
      <c r="BX57" s="2161">
        <v>2019</v>
      </c>
      <c r="BY57" s="2161">
        <v>2019</v>
      </c>
      <c r="BZ57" s="2161">
        <v>2019</v>
      </c>
      <c r="CA57" s="2161">
        <v>2020</v>
      </c>
      <c r="CB57" s="2161">
        <v>2020</v>
      </c>
      <c r="CC57" s="2161">
        <v>2020</v>
      </c>
      <c r="CD57" s="2160">
        <v>2020</v>
      </c>
      <c r="CE57" s="2160">
        <v>2020</v>
      </c>
      <c r="CF57" s="2160">
        <v>2020</v>
      </c>
      <c r="CG57" s="2160">
        <v>2020</v>
      </c>
      <c r="CH57" s="2160">
        <v>2020</v>
      </c>
      <c r="CI57" s="2160">
        <v>2020</v>
      </c>
      <c r="CJ57" s="2160">
        <v>2020</v>
      </c>
      <c r="CK57" s="2160">
        <v>2020</v>
      </c>
      <c r="CL57" s="2160">
        <v>2020</v>
      </c>
      <c r="CM57" s="2160">
        <v>2021</v>
      </c>
      <c r="CN57" s="2160">
        <v>2021</v>
      </c>
      <c r="CO57" s="2160">
        <v>2021</v>
      </c>
      <c r="CP57" s="2161">
        <v>2021</v>
      </c>
      <c r="CQ57" s="2161">
        <v>2021</v>
      </c>
      <c r="CR57" s="2161">
        <v>2021</v>
      </c>
      <c r="CS57" s="2161">
        <v>2021</v>
      </c>
      <c r="CT57" s="2161">
        <v>2021</v>
      </c>
      <c r="CU57" s="2161">
        <v>2021</v>
      </c>
      <c r="CV57" s="2161">
        <v>2021</v>
      </c>
      <c r="CW57" s="2161">
        <v>2021</v>
      </c>
      <c r="CX57" s="2161">
        <v>2021</v>
      </c>
      <c r="CY57" s="2161">
        <v>2022</v>
      </c>
      <c r="CZ57" s="2161">
        <v>2022</v>
      </c>
      <c r="DA57" s="2161">
        <v>2022</v>
      </c>
      <c r="DB57" s="2160">
        <v>2022</v>
      </c>
      <c r="DC57" s="2160">
        <v>2022</v>
      </c>
      <c r="DD57" s="2160">
        <v>2022</v>
      </c>
      <c r="DE57" s="2160">
        <v>2022</v>
      </c>
      <c r="DF57" s="2160">
        <v>2022</v>
      </c>
      <c r="DG57" s="2160">
        <v>2022</v>
      </c>
      <c r="DH57" s="2160">
        <v>2022</v>
      </c>
      <c r="DI57" s="2160">
        <v>2022</v>
      </c>
      <c r="DJ57" s="2160">
        <v>2022</v>
      </c>
      <c r="DK57" s="2160">
        <v>2023</v>
      </c>
      <c r="DL57" s="2160">
        <v>2023</v>
      </c>
      <c r="DM57" s="2160">
        <v>2023</v>
      </c>
      <c r="DN57" s="2161">
        <v>2023</v>
      </c>
      <c r="DO57" s="2161">
        <v>2023</v>
      </c>
      <c r="DP57" s="2161">
        <v>2023</v>
      </c>
      <c r="DQ57" s="2161">
        <v>2023</v>
      </c>
      <c r="DR57" s="2161">
        <v>2023</v>
      </c>
      <c r="DS57" s="2161">
        <v>2023</v>
      </c>
      <c r="DT57" s="2161">
        <v>2023</v>
      </c>
      <c r="DU57" s="2161">
        <v>2023</v>
      </c>
      <c r="DV57" s="2161">
        <v>2023</v>
      </c>
      <c r="DW57" s="2161">
        <v>2024</v>
      </c>
      <c r="DX57" s="2161">
        <v>2024</v>
      </c>
      <c r="DY57" s="2161">
        <v>2024</v>
      </c>
      <c r="DZ57" s="2160">
        <v>2024</v>
      </c>
      <c r="EA57" s="2160">
        <v>2024</v>
      </c>
      <c r="EB57" s="2160">
        <v>2024</v>
      </c>
      <c r="EC57" s="2160">
        <v>2024</v>
      </c>
      <c r="ED57" s="2160">
        <v>2024</v>
      </c>
      <c r="EE57" s="2160">
        <v>2024</v>
      </c>
      <c r="EF57" s="2160">
        <v>2024</v>
      </c>
      <c r="EG57" s="2160">
        <v>2024</v>
      </c>
      <c r="EH57" s="2160">
        <v>2024</v>
      </c>
      <c r="EI57" s="2160">
        <v>2025</v>
      </c>
      <c r="EJ57" s="2160">
        <v>2025</v>
      </c>
      <c r="EK57" s="2160">
        <v>2025</v>
      </c>
      <c r="EL57" s="2161">
        <v>2025</v>
      </c>
      <c r="EM57" s="2161">
        <v>2025</v>
      </c>
      <c r="EN57" s="2161">
        <v>2025</v>
      </c>
      <c r="EO57" s="2161">
        <v>2025</v>
      </c>
      <c r="EP57" s="2161">
        <v>2025</v>
      </c>
      <c r="EQ57" s="2161">
        <v>2025</v>
      </c>
      <c r="ER57" s="2161">
        <v>2025</v>
      </c>
      <c r="ES57" s="2161">
        <v>2025</v>
      </c>
      <c r="ET57" s="2161">
        <v>2025</v>
      </c>
      <c r="EU57" s="2161">
        <v>2026</v>
      </c>
      <c r="EV57" s="2161">
        <v>2026</v>
      </c>
      <c r="EW57" s="2161">
        <v>2026</v>
      </c>
      <c r="EX57" s="2160">
        <v>2026</v>
      </c>
    </row>
    <row r="58" spans="1:154" ht="21.75" customHeight="1">
      <c r="A58" s="1131"/>
      <c r="B58" s="1131"/>
      <c r="C58" s="1131"/>
      <c r="D58" s="1131"/>
      <c r="E58" s="1131"/>
      <c r="F58" s="1131"/>
      <c r="G58" s="1131"/>
      <c r="H58" s="1131"/>
      <c r="I58" s="1131"/>
      <c r="J58" s="1131"/>
      <c r="K58" s="1131"/>
      <c r="L58" s="1131"/>
      <c r="M58" s="1131"/>
      <c r="N58" s="1131"/>
      <c r="O58" s="1131"/>
      <c r="P58" s="1131"/>
      <c r="Q58" s="1131"/>
      <c r="R58" s="1131"/>
      <c r="S58" s="1131"/>
      <c r="U58" s="1738" t="s">
        <v>948</v>
      </c>
      <c r="V58" s="2158">
        <v>23647</v>
      </c>
      <c r="W58" s="2158">
        <v>24075</v>
      </c>
      <c r="X58" s="2158">
        <v>25108</v>
      </c>
      <c r="Y58" s="2158">
        <v>23480</v>
      </c>
      <c r="Z58" s="2158">
        <v>21958</v>
      </c>
      <c r="AA58" s="2158">
        <v>17027</v>
      </c>
      <c r="AB58" s="2158">
        <v>14558</v>
      </c>
      <c r="AC58" s="2158">
        <v>14092</v>
      </c>
      <c r="AD58" s="2158">
        <v>15075</v>
      </c>
      <c r="AE58" s="2158">
        <v>14983</v>
      </c>
      <c r="AF58" s="2158">
        <v>15325</v>
      </c>
      <c r="AG58" s="2158">
        <v>16840</v>
      </c>
      <c r="AH58" s="2158">
        <v>22433</v>
      </c>
      <c r="AI58" s="2158">
        <v>22600</v>
      </c>
      <c r="AJ58" s="2158">
        <v>18393</v>
      </c>
      <c r="AK58" s="2158">
        <v>17542</v>
      </c>
      <c r="AL58" s="2158">
        <v>18127</v>
      </c>
      <c r="AM58" s="2158">
        <v>18992</v>
      </c>
      <c r="AN58" s="2158">
        <v>18850</v>
      </c>
      <c r="AO58" s="2158">
        <v>22440</v>
      </c>
      <c r="AP58" s="2158">
        <v>25383</v>
      </c>
      <c r="AQ58" s="2158">
        <v>26092</v>
      </c>
      <c r="AR58" s="2158">
        <v>25708</v>
      </c>
      <c r="AS58" s="2158">
        <v>28473</v>
      </c>
      <c r="AT58" s="2158">
        <v>26883</v>
      </c>
      <c r="AU58" s="2158">
        <v>23707</v>
      </c>
      <c r="AV58" s="2158">
        <v>24700</v>
      </c>
      <c r="AW58" s="2158">
        <v>26233</v>
      </c>
      <c r="AX58" s="2158">
        <v>29560</v>
      </c>
      <c r="AY58" s="2158">
        <v>31650</v>
      </c>
      <c r="AZ58" s="2158">
        <v>30600</v>
      </c>
      <c r="BA58" s="2158">
        <v>33133</v>
      </c>
      <c r="BB58" s="2158">
        <v>35300</v>
      </c>
      <c r="BC58" s="2158">
        <v>36367</v>
      </c>
      <c r="BD58" s="2158">
        <v>35525</v>
      </c>
      <c r="BE58" s="2158">
        <v>36208</v>
      </c>
      <c r="BF58" s="2158">
        <v>33100</v>
      </c>
      <c r="BG58" s="2158">
        <v>33580</v>
      </c>
      <c r="BH58" s="2158">
        <v>34108</v>
      </c>
      <c r="BI58" s="2158">
        <v>33867</v>
      </c>
      <c r="BJ58" s="2158">
        <v>34893</v>
      </c>
      <c r="BK58" s="2158">
        <v>35825</v>
      </c>
      <c r="BL58" s="2158">
        <v>36247</v>
      </c>
      <c r="BM58" s="2158">
        <v>32008</v>
      </c>
      <c r="BN58" s="2158">
        <v>29392</v>
      </c>
      <c r="BO58" s="2158">
        <v>28940</v>
      </c>
      <c r="BP58" s="2158">
        <v>30617</v>
      </c>
      <c r="BQ58" s="2158">
        <v>33308</v>
      </c>
      <c r="BR58" s="2156">
        <v>31108</v>
      </c>
      <c r="BS58" s="2156">
        <v>29480</v>
      </c>
      <c r="BT58" s="2156">
        <v>27508</v>
      </c>
      <c r="BU58" s="2156">
        <v>25620</v>
      </c>
      <c r="BV58" s="2156">
        <v>25667</v>
      </c>
      <c r="BW58" s="2156">
        <v>23658</v>
      </c>
      <c r="BX58" s="2156">
        <v>22200</v>
      </c>
      <c r="BY58" s="2156">
        <v>22717</v>
      </c>
      <c r="BZ58" s="2156">
        <v>24300</v>
      </c>
      <c r="CA58" s="2156">
        <v>24220</v>
      </c>
      <c r="CB58" s="2156">
        <v>20408</v>
      </c>
      <c r="CC58" s="2156">
        <v>19842</v>
      </c>
      <c r="CD58" s="2156">
        <v>19213</v>
      </c>
      <c r="CE58" s="2156">
        <v>19592</v>
      </c>
      <c r="CF58" s="2156">
        <v>23892</v>
      </c>
      <c r="CG58" s="2156">
        <v>22393</v>
      </c>
      <c r="CH58" s="2156">
        <v>24058</v>
      </c>
      <c r="CI58" s="2156">
        <v>26180</v>
      </c>
      <c r="CJ58" s="2156">
        <v>26725</v>
      </c>
      <c r="CK58" s="2156">
        <v>29367</v>
      </c>
      <c r="CL58" s="2156">
        <v>38407</v>
      </c>
      <c r="CM58" s="2156">
        <v>39567</v>
      </c>
      <c r="CN58" s="2156">
        <v>37417</v>
      </c>
      <c r="CO58" s="2156">
        <v>40260</v>
      </c>
      <c r="CP58" s="2158">
        <v>41642</v>
      </c>
      <c r="CQ58" s="2158">
        <v>47450</v>
      </c>
      <c r="CR58" s="2158">
        <v>49760</v>
      </c>
      <c r="CS58" s="2158">
        <v>49783</v>
      </c>
      <c r="CT58" s="2156">
        <v>48517</v>
      </c>
      <c r="CU58" s="2156">
        <v>48327</v>
      </c>
      <c r="CV58" s="2156">
        <v>54242</v>
      </c>
      <c r="CW58" s="2156">
        <v>55000</v>
      </c>
      <c r="CX58" s="2156">
        <v>53600</v>
      </c>
      <c r="CY58" s="2156">
        <v>52125</v>
      </c>
      <c r="CZ58" s="2156">
        <v>54592</v>
      </c>
      <c r="DA58" s="2156">
        <v>61003</v>
      </c>
      <c r="DB58" s="2158">
        <v>65192</v>
      </c>
      <c r="DC58" s="2158">
        <v>60942</v>
      </c>
      <c r="DD58" s="2158">
        <v>54273</v>
      </c>
      <c r="DE58" s="2158">
        <v>45200</v>
      </c>
      <c r="DF58" s="2156">
        <v>43020</v>
      </c>
      <c r="DG58" s="2156">
        <v>49775</v>
      </c>
      <c r="DH58" s="2156">
        <v>49408</v>
      </c>
      <c r="DI58" s="2156">
        <v>47780</v>
      </c>
      <c r="DJ58" s="2156">
        <v>48033</v>
      </c>
      <c r="DK58" s="2156">
        <v>49725</v>
      </c>
      <c r="DL58" s="2156">
        <v>52575</v>
      </c>
      <c r="DM58" s="2156">
        <v>53893</v>
      </c>
      <c r="DN58" s="2158">
        <v>50017</v>
      </c>
      <c r="DO58" s="2158">
        <v>46880</v>
      </c>
      <c r="DP58" s="2158">
        <v>48417</v>
      </c>
      <c r="DQ58" s="2158">
        <v>48967</v>
      </c>
      <c r="DR58" s="2156">
        <v>49320</v>
      </c>
      <c r="DS58" s="2156">
        <v>50100</v>
      </c>
      <c r="DT58" s="2156">
        <v>50108</v>
      </c>
      <c r="DU58" s="2156">
        <v>49947</v>
      </c>
      <c r="DV58" s="2156">
        <v>50375</v>
      </c>
      <c r="DW58" s="2156">
        <v>51227</v>
      </c>
      <c r="DX58" s="2156">
        <v>52100</v>
      </c>
      <c r="DY58" s="2156">
        <v>51158</v>
      </c>
      <c r="DZ58" s="2158">
        <v>50825</v>
      </c>
      <c r="EA58" s="2158">
        <v>50860</v>
      </c>
      <c r="EB58" s="2158">
        <v>51025</v>
      </c>
      <c r="EC58" s="2158">
        <v>50467</v>
      </c>
      <c r="ED58" s="2156">
        <v>46600</v>
      </c>
      <c r="EE58" s="2156">
        <v>40625</v>
      </c>
      <c r="EF58" s="2156">
        <v>40067</v>
      </c>
      <c r="EG58" s="2156">
        <v>40700</v>
      </c>
      <c r="EH58" s="2157">
        <v>40525</v>
      </c>
      <c r="EI58" s="2157">
        <v>40167</v>
      </c>
      <c r="EJ58" s="2157">
        <v>40033</v>
      </c>
      <c r="EK58" s="2157">
        <v>40400</v>
      </c>
      <c r="EL58" s="2158">
        <v>41187</v>
      </c>
      <c r="EM58" s="2158">
        <v>40608</v>
      </c>
      <c r="EN58" s="2158">
        <v>40217</v>
      </c>
      <c r="EO58" s="2158">
        <v>39673</v>
      </c>
      <c r="EP58" s="2156">
        <v>39533</v>
      </c>
      <c r="EQ58" s="2156">
        <v>39467</v>
      </c>
      <c r="ER58" s="2156">
        <v>41180</v>
      </c>
      <c r="ES58" s="2156">
        <v>43125</v>
      </c>
      <c r="ET58" s="2157">
        <v>43340</v>
      </c>
      <c r="EU58" s="2157">
        <v>43375</v>
      </c>
      <c r="EV58" s="2156">
        <v>43917</v>
      </c>
      <c r="EW58" s="2156">
        <v>47600</v>
      </c>
      <c r="EX58" s="2158"/>
    </row>
    <row r="59" spans="1:154" ht="21.75" customHeight="1">
      <c r="A59" s="1131"/>
      <c r="B59" s="1131"/>
      <c r="C59" s="1131"/>
      <c r="D59" s="1131"/>
      <c r="E59" s="1131"/>
      <c r="F59" s="1131"/>
      <c r="G59" s="1131"/>
      <c r="H59" s="1131"/>
      <c r="I59" s="1131"/>
      <c r="J59" s="1131"/>
      <c r="K59" s="1131"/>
      <c r="L59" s="1131"/>
      <c r="M59" s="1131"/>
      <c r="N59" s="1131"/>
      <c r="O59" s="1131"/>
      <c r="P59" s="1131"/>
      <c r="Q59" s="1131"/>
      <c r="R59" s="1131"/>
      <c r="S59" s="1131"/>
    </row>
    <row r="60" spans="1:154" ht="21.75" customHeight="1">
      <c r="A60" s="1131"/>
      <c r="B60" s="1131"/>
      <c r="C60" s="1131"/>
      <c r="D60" s="1131"/>
      <c r="E60" s="1131"/>
      <c r="F60" s="1131"/>
      <c r="G60" s="1131"/>
      <c r="H60" s="1131"/>
      <c r="I60" s="1131"/>
      <c r="J60" s="1131"/>
      <c r="K60" s="1131"/>
      <c r="L60" s="1131"/>
      <c r="M60" s="1131"/>
      <c r="N60" s="1131"/>
      <c r="O60" s="1131"/>
      <c r="P60" s="1131"/>
      <c r="Q60" s="1131"/>
      <c r="R60" s="1131"/>
      <c r="S60" s="1131"/>
      <c r="U60" s="1736" t="s">
        <v>949</v>
      </c>
      <c r="V60" s="1737"/>
      <c r="W60" s="1739">
        <v>2016</v>
      </c>
      <c r="X60" s="1739">
        <v>2017</v>
      </c>
      <c r="Y60" s="1739">
        <v>2018</v>
      </c>
      <c r="Z60" s="1739">
        <v>2019</v>
      </c>
      <c r="AA60" s="1739">
        <v>2020</v>
      </c>
      <c r="AB60" s="1739">
        <v>2021</v>
      </c>
      <c r="AC60" s="1739">
        <v>2022</v>
      </c>
      <c r="AD60" s="1739">
        <v>2023</v>
      </c>
      <c r="AE60" s="1739">
        <v>2024</v>
      </c>
      <c r="AF60" s="1739">
        <v>2025</v>
      </c>
      <c r="AG60" s="1739">
        <v>2026</v>
      </c>
      <c r="AH60" s="1739" t="s">
        <v>155</v>
      </c>
      <c r="EJ60" s="144" t="s">
        <v>55</v>
      </c>
    </row>
    <row r="61" spans="1:154" ht="21.75" customHeight="1">
      <c r="A61" s="611"/>
      <c r="B61" s="611"/>
      <c r="C61" s="1131"/>
      <c r="D61" s="611"/>
      <c r="E61" s="611"/>
      <c r="F61" s="611"/>
      <c r="G61" s="611"/>
      <c r="H61" s="611"/>
      <c r="I61" s="611"/>
      <c r="J61" s="611"/>
      <c r="K61" s="611"/>
      <c r="L61" s="611"/>
      <c r="M61" s="611"/>
      <c r="N61" s="611"/>
      <c r="O61" s="611"/>
      <c r="P61" s="611"/>
      <c r="Q61" s="611"/>
      <c r="R61" s="611"/>
      <c r="S61" s="611"/>
      <c r="U61" s="1736" t="s">
        <v>950</v>
      </c>
      <c r="V61" s="1737"/>
      <c r="W61" s="270">
        <v>14092</v>
      </c>
      <c r="X61" s="270">
        <v>17542</v>
      </c>
      <c r="Y61" s="270">
        <v>23707</v>
      </c>
      <c r="Z61" s="270">
        <v>28940</v>
      </c>
      <c r="AA61" s="270">
        <v>19842</v>
      </c>
      <c r="AB61" s="270">
        <v>19213</v>
      </c>
      <c r="AC61" s="270">
        <v>41642</v>
      </c>
      <c r="AD61" s="1719">
        <v>43020</v>
      </c>
      <c r="AE61" s="271">
        <v>46880</v>
      </c>
      <c r="AF61" s="271">
        <v>40033</v>
      </c>
      <c r="AG61" s="271">
        <v>39467</v>
      </c>
      <c r="AH61" s="1740">
        <f>(AG61/AF61-1)*100</f>
        <v>-1.4138335872904806</v>
      </c>
      <c r="EJ61" s="144">
        <v>16977</v>
      </c>
      <c r="EK61" s="144">
        <v>19066</v>
      </c>
      <c r="EL61" s="144">
        <v>16301</v>
      </c>
      <c r="EM61" s="144">
        <v>18535</v>
      </c>
    </row>
    <row r="62" spans="1:154" ht="21.75" customHeight="1">
      <c r="A62" s="611"/>
      <c r="B62" s="611"/>
      <c r="C62" s="1131"/>
      <c r="D62" s="611"/>
      <c r="E62" s="611"/>
      <c r="F62" s="611"/>
      <c r="G62" s="611"/>
      <c r="H62" s="611"/>
      <c r="I62" s="611"/>
      <c r="J62" s="611"/>
      <c r="K62" s="611"/>
      <c r="L62" s="611"/>
      <c r="M62" s="611"/>
      <c r="N62" s="611"/>
      <c r="O62" s="611"/>
      <c r="P62" s="611"/>
      <c r="Q62" s="611"/>
      <c r="R62" s="611"/>
      <c r="S62" s="611"/>
      <c r="U62" s="1736" t="s">
        <v>951</v>
      </c>
      <c r="V62" s="1737"/>
      <c r="W62" s="270">
        <v>25108</v>
      </c>
      <c r="X62" s="270">
        <v>28473</v>
      </c>
      <c r="Y62" s="270">
        <v>36367</v>
      </c>
      <c r="Z62" s="270">
        <v>36247</v>
      </c>
      <c r="AA62" s="270">
        <v>31108</v>
      </c>
      <c r="AB62" s="270">
        <v>40260</v>
      </c>
      <c r="AC62" s="270">
        <v>61003</v>
      </c>
      <c r="AD62" s="1719">
        <v>65192</v>
      </c>
      <c r="AE62" s="271">
        <v>52100</v>
      </c>
      <c r="AF62" s="271">
        <v>51025</v>
      </c>
      <c r="AG62" s="271">
        <v>47600</v>
      </c>
      <c r="AH62" s="1740">
        <f>(AG62/AF62-1)*100</f>
        <v>-6.7123958843704035</v>
      </c>
    </row>
    <row r="63" spans="1:154" ht="21.75" customHeight="1">
      <c r="A63" s="611"/>
      <c r="B63" s="611"/>
      <c r="C63" s="1131"/>
      <c r="D63" s="611"/>
      <c r="E63" s="611"/>
      <c r="F63" s="611"/>
      <c r="G63" s="611"/>
      <c r="H63" s="611"/>
      <c r="I63" s="611"/>
      <c r="J63" s="611"/>
      <c r="K63" s="611"/>
      <c r="L63" s="611"/>
      <c r="M63" s="611"/>
      <c r="N63" s="611"/>
      <c r="O63" s="611"/>
      <c r="P63" s="611"/>
      <c r="Q63" s="611"/>
      <c r="R63" s="611"/>
      <c r="S63" s="611"/>
      <c r="U63" s="1736" t="s">
        <v>952</v>
      </c>
      <c r="V63" s="1737"/>
      <c r="W63" s="270">
        <v>18847.333333333332</v>
      </c>
      <c r="X63" s="270">
        <v>22086</v>
      </c>
      <c r="Y63" s="270">
        <v>30822</v>
      </c>
      <c r="Z63" s="270">
        <v>32990</v>
      </c>
      <c r="AA63" s="270">
        <v>24727</v>
      </c>
      <c r="AB63" s="270">
        <v>28922</v>
      </c>
      <c r="AC63" s="270">
        <v>51336</v>
      </c>
      <c r="AD63" s="1719">
        <v>51651</v>
      </c>
      <c r="AE63" s="271">
        <v>49884</v>
      </c>
      <c r="AF63" s="271">
        <v>44357</v>
      </c>
      <c r="AG63" s="271">
        <v>41935</v>
      </c>
      <c r="AH63" s="1740">
        <f>(AG63/AF63-1)*100</f>
        <v>-5.4602430281578958</v>
      </c>
    </row>
    <row r="64" spans="1:154" ht="9" customHeight="1">
      <c r="A64" s="611"/>
      <c r="B64" s="611"/>
      <c r="C64" s="1131"/>
      <c r="D64" s="611"/>
      <c r="E64" s="611"/>
      <c r="F64" s="611"/>
      <c r="G64" s="611"/>
      <c r="H64" s="611"/>
      <c r="I64" s="611"/>
      <c r="J64" s="611"/>
      <c r="K64" s="611"/>
      <c r="L64" s="611"/>
      <c r="M64" s="611"/>
      <c r="N64" s="611"/>
      <c r="O64" s="611"/>
      <c r="P64" s="611"/>
      <c r="Q64" s="611"/>
      <c r="R64" s="611"/>
      <c r="S64" s="611"/>
    </row>
    <row r="65" spans="2:168" ht="21.75" customHeight="1">
      <c r="U65" s="1133" t="s">
        <v>953</v>
      </c>
    </row>
    <row r="66" spans="2:168" ht="16.5">
      <c r="U66" s="1133" t="s">
        <v>954</v>
      </c>
    </row>
    <row r="67" spans="2:168" ht="16.5">
      <c r="B67" s="167"/>
      <c r="C67" s="1485"/>
      <c r="D67" s="167"/>
      <c r="U67" s="1133" t="s">
        <v>955</v>
      </c>
    </row>
    <row r="68" spans="2:168" ht="22.5" customHeight="1">
      <c r="U68" s="1133" t="s">
        <v>956</v>
      </c>
      <c r="EY68" s="272"/>
      <c r="FA68" s="272"/>
      <c r="FB68" s="272"/>
      <c r="FC68" s="272"/>
      <c r="FD68" s="272"/>
      <c r="FE68" s="272"/>
      <c r="FF68" s="272"/>
      <c r="FG68" s="272"/>
      <c r="FH68" s="272"/>
      <c r="FI68" s="272"/>
      <c r="FJ68" s="272"/>
      <c r="FK68" s="272"/>
      <c r="FL68" s="272"/>
    </row>
    <row r="69" spans="2:168" ht="12" customHeight="1">
      <c r="U69" s="1133" t="s">
        <v>1164</v>
      </c>
      <c r="EY69" s="272"/>
    </row>
    <row r="70" spans="2:168" ht="18" customHeight="1">
      <c r="U70" s="1484" t="s">
        <v>957</v>
      </c>
      <c r="EY70" s="272"/>
    </row>
    <row r="71" spans="2:168" ht="15">
      <c r="U71" s="1484" t="s">
        <v>958</v>
      </c>
      <c r="EY71" s="272"/>
    </row>
    <row r="72" spans="2:168" ht="16.5">
      <c r="U72" s="1133" t="s">
        <v>959</v>
      </c>
      <c r="EY72" s="272"/>
    </row>
    <row r="73" spans="2:168" ht="16.5">
      <c r="U73" s="1133" t="s">
        <v>960</v>
      </c>
      <c r="EY73" s="272"/>
    </row>
    <row r="74" spans="2:168" ht="16.5">
      <c r="U74" s="1133" t="s">
        <v>961</v>
      </c>
      <c r="EY74" s="272"/>
    </row>
    <row r="75" spans="2:168" ht="16.5">
      <c r="U75" s="1133" t="s">
        <v>962</v>
      </c>
      <c r="EY75" s="272"/>
    </row>
    <row r="76" spans="2:168">
      <c r="EY76" s="272"/>
    </row>
    <row r="77" spans="2:168">
      <c r="U77" s="1210">
        <v>110785</v>
      </c>
      <c r="V77" s="167" t="s">
        <v>449</v>
      </c>
      <c r="EY77" s="272"/>
    </row>
    <row r="78" spans="2:168">
      <c r="B78" s="168"/>
      <c r="C78" s="1210"/>
      <c r="D78" s="168"/>
      <c r="EY78" s="272"/>
    </row>
    <row r="79" spans="2:168" ht="16.5">
      <c r="U79" s="1133" t="s">
        <v>1650</v>
      </c>
      <c r="EY79" s="272"/>
    </row>
    <row r="80" spans="2:168" ht="16.5">
      <c r="U80" s="1133" t="s">
        <v>963</v>
      </c>
    </row>
    <row r="81" spans="21:21">
      <c r="U81" s="1713" t="s">
        <v>1634</v>
      </c>
    </row>
    <row r="82" spans="21:21">
      <c r="U82" s="1713" t="s">
        <v>1635</v>
      </c>
    </row>
  </sheetData>
  <sheetProtection algorithmName="SHA-512" hashValue="+wDoPjCq2S5ZwkFNXSAHTCy2WgEIM/WtNddy/agRxbFyOrDn0i68W+9Y8ng/riQq6TlJL/koOhHqZHAQ1xE3bQ==" saltValue="w+VPki3rCY7TxJcgVBelfA==" spinCount="100000" sheet="1" objects="1" scenarios="1"/>
  <customSheetViews>
    <customSheetView guid="{06451E13-97D0-44F4-875B-E8D80B2F1CF1}" scale="85" showPageBreaks="1" fitToPage="1" printArea="1" hiddenRows="1" view="pageBreakPreview">
      <selection activeCell="AA7" sqref="AA7:AB7"/>
      <pageMargins left="0" right="0" top="0" bottom="0" header="0" footer="0"/>
      <printOptions horizontalCentered="1" verticalCentered="1"/>
      <pageSetup paperSize="9" scale="72" orientation="landscape" r:id="rId1"/>
      <headerFooter scaleWithDoc="0" alignWithMargins="0">
        <oddFooter>&amp;C&amp;"Arial,標準"&amp;12 18</oddFooter>
      </headerFooter>
    </customSheetView>
  </customSheetViews>
  <mergeCells count="83">
    <mergeCell ref="J5:J6"/>
    <mergeCell ref="U5:U6"/>
    <mergeCell ref="V5:V6"/>
    <mergeCell ref="K5:K6"/>
    <mergeCell ref="L5:L6"/>
    <mergeCell ref="M5:M6"/>
    <mergeCell ref="N5:N6"/>
    <mergeCell ref="O5:O6"/>
    <mergeCell ref="P5:P6"/>
    <mergeCell ref="U13:U15"/>
    <mergeCell ref="D14:E14"/>
    <mergeCell ref="D15:E15"/>
    <mergeCell ref="B5:E6"/>
    <mergeCell ref="F5:F6"/>
    <mergeCell ref="G5:G6"/>
    <mergeCell ref="U10:U12"/>
    <mergeCell ref="D11:E11"/>
    <mergeCell ref="D12:E12"/>
    <mergeCell ref="C7:C9"/>
    <mergeCell ref="D7:E7"/>
    <mergeCell ref="U7:U9"/>
    <mergeCell ref="D8:E8"/>
    <mergeCell ref="D9:E9"/>
    <mergeCell ref="H5:H6"/>
    <mergeCell ref="I5:I6"/>
    <mergeCell ref="H18:H19"/>
    <mergeCell ref="I18:I19"/>
    <mergeCell ref="J18:J19"/>
    <mergeCell ref="C10:C12"/>
    <mergeCell ref="D10:E10"/>
    <mergeCell ref="C13:C15"/>
    <mergeCell ref="D13:E13"/>
    <mergeCell ref="U18:U19"/>
    <mergeCell ref="V18:V19"/>
    <mergeCell ref="C20:C22"/>
    <mergeCell ref="D20:E20"/>
    <mergeCell ref="U20:U22"/>
    <mergeCell ref="D21:E21"/>
    <mergeCell ref="D22:E22"/>
    <mergeCell ref="K18:K19"/>
    <mergeCell ref="L18:L19"/>
    <mergeCell ref="M18:M19"/>
    <mergeCell ref="N18:N19"/>
    <mergeCell ref="O18:O19"/>
    <mergeCell ref="P18:P19"/>
    <mergeCell ref="B18:E19"/>
    <mergeCell ref="F18:F19"/>
    <mergeCell ref="G18:G19"/>
    <mergeCell ref="C26:C28"/>
    <mergeCell ref="D26:E26"/>
    <mergeCell ref="U26:U28"/>
    <mergeCell ref="D27:E27"/>
    <mergeCell ref="D28:E28"/>
    <mergeCell ref="C23:C25"/>
    <mergeCell ref="D23:E23"/>
    <mergeCell ref="U23:U25"/>
    <mergeCell ref="D24:E24"/>
    <mergeCell ref="D25:E25"/>
    <mergeCell ref="C29:C31"/>
    <mergeCell ref="D29:E29"/>
    <mergeCell ref="U29:U31"/>
    <mergeCell ref="D30:E30"/>
    <mergeCell ref="D31:E31"/>
    <mergeCell ref="C40:E40"/>
    <mergeCell ref="C41:E41"/>
    <mergeCell ref="U41:U43"/>
    <mergeCell ref="C42:E42"/>
    <mergeCell ref="J38:J39"/>
    <mergeCell ref="K38:K39"/>
    <mergeCell ref="L38:L39"/>
    <mergeCell ref="M38:M39"/>
    <mergeCell ref="N38:N39"/>
    <mergeCell ref="O38:O39"/>
    <mergeCell ref="B38:E39"/>
    <mergeCell ref="F38:F39"/>
    <mergeCell ref="G38:G39"/>
    <mergeCell ref="H38:H39"/>
    <mergeCell ref="I38:I39"/>
    <mergeCell ref="U44:U46"/>
    <mergeCell ref="U47:U49"/>
    <mergeCell ref="U50:U52"/>
    <mergeCell ref="P38:P39"/>
    <mergeCell ref="U38:U40"/>
  </mergeCells>
  <phoneticPr fontId="29"/>
  <hyperlinks>
    <hyperlink ref="U81" r:id="rId2"/>
    <hyperlink ref="U82" r:id="rId3"/>
  </hyperlinks>
  <printOptions horizontalCentered="1" verticalCentered="1"/>
  <pageMargins left="0" right="0" top="0" bottom="0" header="0" footer="0"/>
  <pageSetup paperSize="9" scale="74" orientation="landscape" r:id="rId4"/>
  <headerFooter scaleWithDoc="0" alignWithMargins="0">
    <oddFooter>&amp;C&amp;"Arial,標準"&amp;12 18</oddFooter>
  </headerFooter>
  <drawing r:id="rId5"/>
  <legacyDrawing r:id="rId6"/>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A1:AI45"/>
  <sheetViews>
    <sheetView view="pageBreakPreview" zoomScale="70" zoomScaleNormal="85" zoomScaleSheetLayoutView="70" workbookViewId="0">
      <selection activeCell="R1" sqref="R1:AO1048576"/>
    </sheetView>
  </sheetViews>
  <sheetFormatPr defaultColWidth="9.140625" defaultRowHeight="15" customHeight="1" outlineLevelRow="1" outlineLevelCol="1"/>
  <cols>
    <col min="1" max="1" width="11.5703125" style="83" customWidth="1"/>
    <col min="2" max="2" width="25.85546875" style="83" customWidth="1"/>
    <col min="3" max="3" width="36.5703125" style="84" customWidth="1"/>
    <col min="4" max="7" width="8.85546875" style="83" customWidth="1"/>
    <col min="8" max="8" width="8.85546875" style="84" customWidth="1"/>
    <col min="9" max="10" width="8.85546875" style="83" customWidth="1"/>
    <col min="11" max="11" width="8.85546875" style="84" customWidth="1"/>
    <col min="12" max="16" width="8.85546875" style="83" customWidth="1"/>
    <col min="17" max="17" width="11.42578125" style="83" customWidth="1"/>
    <col min="18" max="18" width="9.85546875" style="83" hidden="1" customWidth="1"/>
    <col min="19" max="19" width="27.42578125" style="83" hidden="1" customWidth="1"/>
    <col min="20" max="28" width="17.85546875" style="83" hidden="1" customWidth="1" outlineLevel="1"/>
    <col min="29" max="29" width="17.85546875" style="83" hidden="1" customWidth="1"/>
    <col min="30" max="30" width="15.42578125" style="83" hidden="1" customWidth="1"/>
    <col min="31" max="31" width="9.42578125" style="83" hidden="1" customWidth="1"/>
    <col min="32" max="32" width="15.140625" style="83" hidden="1" customWidth="1"/>
    <col min="33" max="33" width="0" style="83" hidden="1" customWidth="1"/>
    <col min="34" max="34" width="14.140625" style="83" hidden="1" customWidth="1"/>
    <col min="35" max="41" width="0" style="83" hidden="1" customWidth="1"/>
    <col min="42" max="16384" width="9.140625" style="83"/>
  </cols>
  <sheetData>
    <row r="1" spans="1:35" ht="59.25" customHeight="1">
      <c r="A1" s="1486"/>
      <c r="B1" s="1486"/>
      <c r="C1" s="1487"/>
      <c r="D1" s="1486"/>
      <c r="E1" s="1486"/>
      <c r="F1" s="1486"/>
      <c r="G1" s="1486"/>
      <c r="H1" s="1487"/>
      <c r="I1" s="1486"/>
      <c r="J1" s="1486"/>
      <c r="K1" s="1487"/>
      <c r="L1" s="1486"/>
      <c r="M1" s="1486"/>
      <c r="N1" s="1486"/>
      <c r="O1" s="1486"/>
      <c r="P1" s="1486"/>
      <c r="Q1" s="1486"/>
      <c r="T1" s="2128" t="s">
        <v>1645</v>
      </c>
    </row>
    <row r="2" spans="1:35" ht="20.100000000000001" customHeight="1">
      <c r="A2" s="671"/>
      <c r="B2" s="1488"/>
      <c r="C2" s="1487"/>
      <c r="D2" s="1486"/>
      <c r="E2" s="1486"/>
      <c r="F2" s="1486"/>
      <c r="G2" s="1486"/>
      <c r="H2" s="1487"/>
      <c r="I2" s="1486"/>
      <c r="J2" s="1486"/>
      <c r="K2" s="1487"/>
      <c r="L2" s="1486"/>
      <c r="M2" s="1486"/>
      <c r="N2" s="1486"/>
      <c r="O2" s="1486"/>
      <c r="P2" s="1486"/>
      <c r="Q2" s="1486"/>
    </row>
    <row r="3" spans="1:35" ht="12" customHeight="1">
      <c r="A3" s="1486"/>
      <c r="B3" s="1486"/>
      <c r="C3" s="1486"/>
      <c r="D3" s="1486"/>
      <c r="E3" s="1486"/>
      <c r="F3" s="1486"/>
      <c r="G3" s="1486"/>
      <c r="H3" s="1486"/>
      <c r="I3" s="1486"/>
      <c r="J3" s="1486"/>
      <c r="K3" s="1486"/>
      <c r="L3" s="1486"/>
      <c r="M3" s="1486"/>
      <c r="N3" s="1486"/>
      <c r="O3" s="1486"/>
      <c r="P3" s="1486"/>
      <c r="Q3" s="1486"/>
    </row>
    <row r="4" spans="1:35" ht="17.25" customHeight="1" thickBot="1">
      <c r="A4" s="1486"/>
      <c r="B4" s="1486"/>
      <c r="C4" s="1489"/>
      <c r="D4" s="1490"/>
      <c r="E4" s="1490"/>
      <c r="F4" s="1490"/>
      <c r="G4" s="783"/>
      <c r="H4" s="1491"/>
      <c r="I4" s="1490"/>
      <c r="J4" s="783"/>
      <c r="K4" s="1491"/>
      <c r="L4" s="1490"/>
      <c r="M4" s="1490"/>
      <c r="N4" s="783"/>
      <c r="O4" s="783"/>
      <c r="P4" s="1798" t="s">
        <v>1681</v>
      </c>
      <c r="Q4" s="674"/>
      <c r="R4" s="10"/>
      <c r="S4" s="273" t="s">
        <v>297</v>
      </c>
    </row>
    <row r="5" spans="1:35" ht="24" customHeight="1">
      <c r="A5" s="1486"/>
      <c r="B5" s="2592"/>
      <c r="C5" s="2592"/>
      <c r="D5" s="2453" t="str">
        <f>T5</f>
        <v>2016.3</v>
      </c>
      <c r="E5" s="2206" t="str">
        <f t="shared" ref="E5:N5" si="0">U5</f>
        <v>2017.3</v>
      </c>
      <c r="F5" s="2206" t="str">
        <f t="shared" si="0"/>
        <v>2018.3</v>
      </c>
      <c r="G5" s="2206" t="str">
        <f t="shared" si="0"/>
        <v>2019.3</v>
      </c>
      <c r="H5" s="2206" t="str">
        <f t="shared" si="0"/>
        <v>2020.3</v>
      </c>
      <c r="I5" s="2206" t="str">
        <f t="shared" si="0"/>
        <v>2021.3</v>
      </c>
      <c r="J5" s="2206" t="str">
        <f t="shared" si="0"/>
        <v>2022.3</v>
      </c>
      <c r="K5" s="2206" t="str">
        <f t="shared" si="0"/>
        <v>2023.3</v>
      </c>
      <c r="L5" s="2206" t="str">
        <f t="shared" si="0"/>
        <v>2024.3</v>
      </c>
      <c r="M5" s="2206" t="str">
        <f t="shared" si="0"/>
        <v>2025.3</v>
      </c>
      <c r="N5" s="2306" t="str">
        <f t="shared" si="0"/>
        <v>2026.3</v>
      </c>
      <c r="O5" s="912" t="s">
        <v>638</v>
      </c>
      <c r="P5" s="913" t="s">
        <v>558</v>
      </c>
      <c r="Q5" s="1486"/>
      <c r="R5" s="89"/>
      <c r="S5" s="2590" t="s">
        <v>318</v>
      </c>
      <c r="T5" s="151" t="s">
        <v>260</v>
      </c>
      <c r="U5" s="151" t="s">
        <v>261</v>
      </c>
      <c r="V5" s="151" t="s">
        <v>377</v>
      </c>
      <c r="W5" s="151" t="s">
        <v>396</v>
      </c>
      <c r="X5" s="151" t="s">
        <v>422</v>
      </c>
      <c r="Y5" s="151" t="s">
        <v>447</v>
      </c>
      <c r="Z5" s="151" t="s">
        <v>1089</v>
      </c>
      <c r="AA5" s="150" t="s">
        <v>1430</v>
      </c>
      <c r="AB5" s="150" t="s">
        <v>1506</v>
      </c>
      <c r="AC5" s="165" t="s">
        <v>1626</v>
      </c>
      <c r="AD5" s="175" t="s">
        <v>1643</v>
      </c>
      <c r="AE5" s="173" t="s">
        <v>155</v>
      </c>
      <c r="AF5" s="174" t="s">
        <v>83</v>
      </c>
    </row>
    <row r="6" spans="1:35" ht="18.95" customHeight="1" thickBot="1">
      <c r="A6" s="1486"/>
      <c r="B6" s="2593"/>
      <c r="C6" s="2593"/>
      <c r="D6" s="2207"/>
      <c r="E6" s="2207"/>
      <c r="F6" s="2207"/>
      <c r="G6" s="2207"/>
      <c r="H6" s="2207"/>
      <c r="I6" s="2207"/>
      <c r="J6" s="2207"/>
      <c r="K6" s="2207"/>
      <c r="L6" s="2207"/>
      <c r="M6" s="2207"/>
      <c r="N6" s="2450"/>
      <c r="O6" s="646" t="s">
        <v>511</v>
      </c>
      <c r="P6" s="647" t="s">
        <v>509</v>
      </c>
      <c r="Q6" s="1486"/>
      <c r="R6" s="89"/>
      <c r="S6" s="2591"/>
      <c r="T6" s="154"/>
      <c r="U6" s="154"/>
      <c r="V6" s="154"/>
      <c r="W6" s="154"/>
      <c r="X6" s="154"/>
      <c r="Y6" s="154"/>
      <c r="Z6" s="154"/>
      <c r="AA6" s="153"/>
      <c r="AB6" s="153"/>
      <c r="AC6" s="177"/>
      <c r="AD6" s="178"/>
      <c r="AE6" s="152" t="s">
        <v>373</v>
      </c>
      <c r="AF6" s="73" t="s">
        <v>264</v>
      </c>
      <c r="AH6" s="83" t="s">
        <v>139</v>
      </c>
    </row>
    <row r="7" spans="1:35" ht="15.95" customHeight="1" thickTop="1">
      <c r="A7" s="1486"/>
      <c r="B7" s="2585" t="s">
        <v>966</v>
      </c>
      <c r="C7" s="2585"/>
      <c r="D7" s="1473">
        <f t="shared" ref="D7:E9" si="1">ROUNDDOWN(T7,-6)/1000000</f>
        <v>68607</v>
      </c>
      <c r="E7" s="1473">
        <f t="shared" si="1"/>
        <v>67179</v>
      </c>
      <c r="F7" s="1473">
        <f t="shared" ref="F7:N9" si="2">ROUNDDOWN(V7,-6)/1000000</f>
        <v>75153</v>
      </c>
      <c r="G7" s="1473">
        <f t="shared" si="2"/>
        <v>79908</v>
      </c>
      <c r="H7" s="1473">
        <f t="shared" si="2"/>
        <v>78143</v>
      </c>
      <c r="I7" s="1473">
        <f t="shared" si="2"/>
        <v>74874</v>
      </c>
      <c r="J7" s="1473">
        <f t="shared" si="2"/>
        <v>81482</v>
      </c>
      <c r="K7" s="1473">
        <f t="shared" si="2"/>
        <v>88778</v>
      </c>
      <c r="L7" s="1473">
        <f t="shared" si="2"/>
        <v>97606</v>
      </c>
      <c r="M7" s="1473">
        <f t="shared" si="2"/>
        <v>104021</v>
      </c>
      <c r="N7" s="1473">
        <f t="shared" si="2"/>
        <v>113854</v>
      </c>
      <c r="O7" s="1492">
        <f>AE7</f>
        <v>9.4522474640321938</v>
      </c>
      <c r="P7" s="1492">
        <f>AF7</f>
        <v>5.1956422394338286</v>
      </c>
      <c r="Q7" s="1486"/>
      <c r="S7" s="274" t="s">
        <v>367</v>
      </c>
      <c r="T7" s="275">
        <v>68607412214</v>
      </c>
      <c r="U7" s="275">
        <v>67179638767</v>
      </c>
      <c r="V7" s="275">
        <v>75153795456</v>
      </c>
      <c r="W7" s="275">
        <v>79908597806</v>
      </c>
      <c r="X7" s="276">
        <v>78143165254</v>
      </c>
      <c r="Y7" s="275">
        <v>74874851916</v>
      </c>
      <c r="Z7" s="275">
        <v>81482517034</v>
      </c>
      <c r="AA7" s="276">
        <v>88778392668</v>
      </c>
      <c r="AB7" s="275">
        <v>97606207402</v>
      </c>
      <c r="AC7" s="277">
        <v>104021676521</v>
      </c>
      <c r="AD7" s="278">
        <v>113854062802</v>
      </c>
      <c r="AE7" s="279">
        <f>IF(OR(AC7&lt;0,AD7&lt;0),"-",(AD7/AC7-1)*100)</f>
        <v>9.4522474640321938</v>
      </c>
      <c r="AF7" s="97">
        <f>IF(OR(AND(AD7&gt;0,T7&lt;0),AND(AD7&lt;0,T7&gt;0),AND(AD7&lt;0,T7&lt;0)),"-",((AD7/T7)^(1/10)-1)*100)</f>
        <v>5.1956422394338286</v>
      </c>
      <c r="AH7" s="83">
        <f>Ⅰ_主要ﾃﾞｰﾀ!AG8</f>
        <v>113854062802</v>
      </c>
      <c r="AI7" s="83" t="str">
        <f>IF($AD7=$AH7,"OK","NG")</f>
        <v>OK</v>
      </c>
    </row>
    <row r="8" spans="1:35" ht="15.95" customHeight="1">
      <c r="A8" s="1486"/>
      <c r="B8" s="2588" t="s">
        <v>967</v>
      </c>
      <c r="C8" s="2588"/>
      <c r="D8" s="1473">
        <f t="shared" si="1"/>
        <v>25867</v>
      </c>
      <c r="E8" s="1473">
        <f t="shared" si="1"/>
        <v>26413</v>
      </c>
      <c r="F8" s="1473">
        <f t="shared" si="2"/>
        <v>29174</v>
      </c>
      <c r="G8" s="1473">
        <f t="shared" si="2"/>
        <v>31391</v>
      </c>
      <c r="H8" s="1473">
        <f t="shared" si="2"/>
        <v>30954</v>
      </c>
      <c r="I8" s="1473">
        <f t="shared" si="2"/>
        <v>28341</v>
      </c>
      <c r="J8" s="1473">
        <f t="shared" si="2"/>
        <v>30710</v>
      </c>
      <c r="K8" s="1473">
        <f t="shared" si="2"/>
        <v>35135</v>
      </c>
      <c r="L8" s="1473">
        <f t="shared" si="2"/>
        <v>38571</v>
      </c>
      <c r="M8" s="1473">
        <f t="shared" si="2"/>
        <v>39199</v>
      </c>
      <c r="N8" s="1473">
        <f t="shared" si="2"/>
        <v>42402</v>
      </c>
      <c r="O8" s="1492">
        <f t="shared" ref="O8:P24" si="3">AE8</f>
        <v>8.1709828341662405</v>
      </c>
      <c r="P8" s="1492">
        <f t="shared" si="3"/>
        <v>5.0666020213160357</v>
      </c>
      <c r="Q8" s="1486"/>
      <c r="S8" s="282" t="s">
        <v>368</v>
      </c>
      <c r="T8" s="283">
        <v>25867117123</v>
      </c>
      <c r="U8" s="283">
        <v>26413725793</v>
      </c>
      <c r="V8" s="283">
        <v>29174590336</v>
      </c>
      <c r="W8" s="283">
        <v>31391817799</v>
      </c>
      <c r="X8" s="284">
        <v>30954350659</v>
      </c>
      <c r="Y8" s="283">
        <v>28341524356</v>
      </c>
      <c r="Z8" s="283">
        <v>30710429999</v>
      </c>
      <c r="AA8" s="284">
        <v>35135786310</v>
      </c>
      <c r="AB8" s="283">
        <v>38571264937</v>
      </c>
      <c r="AC8" s="285">
        <v>39199824501</v>
      </c>
      <c r="AD8" s="286">
        <v>42402835432</v>
      </c>
      <c r="AE8" s="287">
        <f>IF(OR(AC8&lt;0,AD8&lt;0),"-",(AD8/AC8-1)*100)</f>
        <v>8.1709828341662405</v>
      </c>
      <c r="AF8" s="127">
        <f>IF(OR(AND(AD8&gt;0,T8&lt;0),AND(AD8&lt;0,T8&gt;0),AND(AD8&lt;0,T8&lt;0)),"-",((AD8/T8)^(1/10)-1)*100)</f>
        <v>5.0666020213160357</v>
      </c>
    </row>
    <row r="9" spans="1:35" ht="15.95" customHeight="1">
      <c r="A9" s="1486"/>
      <c r="B9" s="2588" t="s">
        <v>968</v>
      </c>
      <c r="C9" s="2588"/>
      <c r="D9" s="1473">
        <f t="shared" si="1"/>
        <v>42740</v>
      </c>
      <c r="E9" s="1473">
        <f t="shared" si="1"/>
        <v>40765</v>
      </c>
      <c r="F9" s="1473">
        <f t="shared" si="2"/>
        <v>45979</v>
      </c>
      <c r="G9" s="1473">
        <f t="shared" si="2"/>
        <v>48516</v>
      </c>
      <c r="H9" s="1473">
        <f t="shared" si="2"/>
        <v>47188</v>
      </c>
      <c r="I9" s="1473">
        <f t="shared" si="2"/>
        <v>46533</v>
      </c>
      <c r="J9" s="1473">
        <f t="shared" si="2"/>
        <v>50772</v>
      </c>
      <c r="K9" s="1473">
        <f t="shared" si="2"/>
        <v>53642</v>
      </c>
      <c r="L9" s="1473">
        <f t="shared" si="2"/>
        <v>59034</v>
      </c>
      <c r="M9" s="1473">
        <f t="shared" si="2"/>
        <v>64821</v>
      </c>
      <c r="N9" s="1473">
        <f t="shared" si="2"/>
        <v>71451</v>
      </c>
      <c r="O9" s="1492">
        <f t="shared" si="3"/>
        <v>10.227068717435884</v>
      </c>
      <c r="P9" s="1492">
        <f t="shared" si="3"/>
        <v>5.2730529301437512</v>
      </c>
      <c r="Q9" s="1486"/>
      <c r="S9" s="282" t="s">
        <v>369</v>
      </c>
      <c r="T9" s="284">
        <v>42740295091</v>
      </c>
      <c r="U9" s="284">
        <v>40765912974</v>
      </c>
      <c r="V9" s="284">
        <v>45979205120</v>
      </c>
      <c r="W9" s="284">
        <v>48516780007</v>
      </c>
      <c r="X9" s="284">
        <v>47188814595</v>
      </c>
      <c r="Y9" s="284">
        <v>46533327560</v>
      </c>
      <c r="Z9" s="284">
        <v>50772087035</v>
      </c>
      <c r="AA9" s="284">
        <v>53642606358</v>
      </c>
      <c r="AB9" s="283">
        <v>59034942465</v>
      </c>
      <c r="AC9" s="285">
        <v>64821852020</v>
      </c>
      <c r="AD9" s="286">
        <v>71451227370</v>
      </c>
      <c r="AE9" s="287">
        <f>IF(OR(AC9&lt;0,AD9&lt;0),"-",(AD9/AC9-1)*100)</f>
        <v>10.227068717435884</v>
      </c>
      <c r="AF9" s="127">
        <f>IF(OR(AND(AD9&gt;0,T9&lt;0),AND(AD9&lt;0,T9&gt;0),AND(AD9&lt;0,T9&lt;0)),"-",((AD9/T9)^(1/10)-1)*100)</f>
        <v>5.2730529301437512</v>
      </c>
    </row>
    <row r="10" spans="1:35" ht="15.95" customHeight="1">
      <c r="A10" s="1486"/>
      <c r="B10" s="2589" t="s">
        <v>969</v>
      </c>
      <c r="C10" s="2589"/>
      <c r="D10" s="1715">
        <f>T10</f>
        <v>62.296905992729499</v>
      </c>
      <c r="E10" s="1715">
        <f>U10</f>
        <v>60.681947271834758</v>
      </c>
      <c r="F10" s="1715">
        <f t="shared" ref="F10:N10" si="4">V10</f>
        <v>61.180150438202773</v>
      </c>
      <c r="G10" s="1715">
        <f t="shared" si="4"/>
        <v>60.715343954336134</v>
      </c>
      <c r="H10" s="1715">
        <f t="shared" si="4"/>
        <v>60.387641633936106</v>
      </c>
      <c r="I10" s="1715">
        <f t="shared" si="4"/>
        <v>62.148139688081706</v>
      </c>
      <c r="J10" s="1715">
        <f t="shared" si="4"/>
        <v>62.310405818483069</v>
      </c>
      <c r="K10" s="1715">
        <f t="shared" si="4"/>
        <v>60.423042979167803</v>
      </c>
      <c r="L10" s="1715">
        <f t="shared" si="4"/>
        <v>60.482774647578765</v>
      </c>
      <c r="M10" s="1715">
        <f t="shared" si="4"/>
        <v>62.315715520037493</v>
      </c>
      <c r="N10" s="1715">
        <f t="shared" si="4"/>
        <v>62.756853476769273</v>
      </c>
      <c r="O10" s="1781" t="str">
        <f>AE10</f>
        <v>-</v>
      </c>
      <c r="P10" s="1781" t="str">
        <f>AF10</f>
        <v>-</v>
      </c>
      <c r="Q10" s="1486"/>
      <c r="S10" s="282" t="s">
        <v>314</v>
      </c>
      <c r="T10" s="288">
        <f>T9/T7*100</f>
        <v>62.296905992729499</v>
      </c>
      <c r="U10" s="288">
        <f>U9/U7*100</f>
        <v>60.681947271834758</v>
      </c>
      <c r="V10" s="288">
        <f t="shared" ref="V10:AD10" si="5">V9/V7*100</f>
        <v>61.180150438202773</v>
      </c>
      <c r="W10" s="288">
        <f t="shared" si="5"/>
        <v>60.715343954336134</v>
      </c>
      <c r="X10" s="288">
        <f t="shared" si="5"/>
        <v>60.387641633936106</v>
      </c>
      <c r="Y10" s="288">
        <f t="shared" si="5"/>
        <v>62.148139688081706</v>
      </c>
      <c r="Z10" s="288">
        <f t="shared" si="5"/>
        <v>62.310405818483069</v>
      </c>
      <c r="AA10" s="288">
        <f t="shared" si="5"/>
        <v>60.423042979167803</v>
      </c>
      <c r="AB10" s="288">
        <f t="shared" si="5"/>
        <v>60.482774647578765</v>
      </c>
      <c r="AC10" s="289">
        <f t="shared" si="5"/>
        <v>62.315715520037493</v>
      </c>
      <c r="AD10" s="290">
        <f t="shared" si="5"/>
        <v>62.756853476769273</v>
      </c>
      <c r="AE10" s="287" t="s">
        <v>142</v>
      </c>
      <c r="AF10" s="127" t="s">
        <v>142</v>
      </c>
    </row>
    <row r="11" spans="1:35" ht="15.95" customHeight="1">
      <c r="A11" s="1486"/>
      <c r="B11" s="2588" t="s">
        <v>970</v>
      </c>
      <c r="C11" s="2588"/>
      <c r="D11" s="1473">
        <f>ROUNDDOWN(T11,-6)/1000000</f>
        <v>8248</v>
      </c>
      <c r="E11" s="1473">
        <f>ROUNDDOWN(U11,-6)/1000000</f>
        <v>8368</v>
      </c>
      <c r="F11" s="1473">
        <f t="shared" ref="F11:N11" si="6">ROUNDDOWN(V11,-6)/1000000</f>
        <v>9907</v>
      </c>
      <c r="G11" s="1473">
        <f t="shared" si="6"/>
        <v>11393</v>
      </c>
      <c r="H11" s="1473">
        <f t="shared" si="6"/>
        <v>11179</v>
      </c>
      <c r="I11" s="1473">
        <f t="shared" si="6"/>
        <v>10306</v>
      </c>
      <c r="J11" s="1473">
        <f t="shared" si="6"/>
        <v>9197</v>
      </c>
      <c r="K11" s="1473">
        <f t="shared" si="6"/>
        <v>9864</v>
      </c>
      <c r="L11" s="1473">
        <f t="shared" si="6"/>
        <v>10097</v>
      </c>
      <c r="M11" s="1473">
        <f t="shared" si="6"/>
        <v>10615</v>
      </c>
      <c r="N11" s="1473">
        <f t="shared" si="6"/>
        <v>11603</v>
      </c>
      <c r="O11" s="1492">
        <f t="shared" si="3"/>
        <v>9.3090398571274324</v>
      </c>
      <c r="P11" s="1492">
        <f t="shared" si="3"/>
        <v>3.4713665589310994</v>
      </c>
      <c r="Q11" s="1486"/>
      <c r="S11" s="282" t="s">
        <v>345</v>
      </c>
      <c r="T11" s="283">
        <v>8248728028</v>
      </c>
      <c r="U11" s="283">
        <v>8368935332</v>
      </c>
      <c r="V11" s="283">
        <v>9907735924</v>
      </c>
      <c r="W11" s="283">
        <v>11393357583</v>
      </c>
      <c r="X11" s="284">
        <v>11179749804</v>
      </c>
      <c r="Y11" s="283">
        <v>10306308295</v>
      </c>
      <c r="Z11" s="283">
        <v>9197595334</v>
      </c>
      <c r="AA11" s="284">
        <v>9864501358</v>
      </c>
      <c r="AB11" s="283">
        <v>10097224373</v>
      </c>
      <c r="AC11" s="285">
        <v>10615311774</v>
      </c>
      <c r="AD11" s="286">
        <v>11603495378</v>
      </c>
      <c r="AE11" s="287">
        <f>IF(OR(AC11&lt;0,AD11&lt;0),"-",(AD11/AC11-1)*100)</f>
        <v>9.3090398571274324</v>
      </c>
      <c r="AF11" s="127">
        <f>IF(OR(AND(AD11&gt;0,T11&lt;0),AND(AD11&lt;0,T11&gt;0),AND(AD11&lt;0,T11&lt;0)),"-",((AD11/T11)^(1/10)-1)*100)</f>
        <v>3.4713665589310994</v>
      </c>
    </row>
    <row r="12" spans="1:35" ht="15.95" customHeight="1">
      <c r="A12" s="1486"/>
      <c r="B12" s="2584" t="s">
        <v>971</v>
      </c>
      <c r="C12" s="2584"/>
      <c r="D12" s="1254">
        <f>T12</f>
        <v>12.023085788851205</v>
      </c>
      <c r="E12" s="1254">
        <f>U12</f>
        <v>12.457547384299112</v>
      </c>
      <c r="F12" s="1254">
        <f t="shared" ref="F12:N12" si="7">V12</f>
        <v>13.183280849469064</v>
      </c>
      <c r="G12" s="1254">
        <f t="shared" si="7"/>
        <v>14.257987120059964</v>
      </c>
      <c r="H12" s="1254">
        <f t="shared" si="7"/>
        <v>14.306753210803333</v>
      </c>
      <c r="I12" s="1254">
        <f t="shared" si="7"/>
        <v>13.76471275904807</v>
      </c>
      <c r="J12" s="1254">
        <f t="shared" si="7"/>
        <v>11.287814452469776</v>
      </c>
      <c r="K12" s="1254">
        <f t="shared" si="7"/>
        <v>11.111376385118584</v>
      </c>
      <c r="L12" s="1254">
        <f t="shared" si="7"/>
        <v>10.344858838140967</v>
      </c>
      <c r="M12" s="1254">
        <f t="shared" si="7"/>
        <v>10.204903563400048</v>
      </c>
      <c r="N12" s="1254">
        <f t="shared" si="7"/>
        <v>10.191551440882062</v>
      </c>
      <c r="O12" s="1493" t="str">
        <f>AE12</f>
        <v>-</v>
      </c>
      <c r="P12" s="1493" t="str">
        <f>AF12</f>
        <v>-</v>
      </c>
      <c r="Q12" s="1486"/>
      <c r="S12" s="282" t="s">
        <v>315</v>
      </c>
      <c r="T12" s="289">
        <f>T11/T7*100</f>
        <v>12.023085788851205</v>
      </c>
      <c r="U12" s="289">
        <f>U11/U7*100</f>
        <v>12.457547384299112</v>
      </c>
      <c r="V12" s="289">
        <f>V11/V7*100</f>
        <v>13.183280849469064</v>
      </c>
      <c r="W12" s="289">
        <f t="shared" ref="W12:AD12" si="8">W11/W7*100</f>
        <v>14.257987120059964</v>
      </c>
      <c r="X12" s="289">
        <f t="shared" si="8"/>
        <v>14.306753210803333</v>
      </c>
      <c r="Y12" s="288">
        <f t="shared" si="8"/>
        <v>13.76471275904807</v>
      </c>
      <c r="Z12" s="289">
        <f t="shared" si="8"/>
        <v>11.287814452469776</v>
      </c>
      <c r="AA12" s="289">
        <f t="shared" si="8"/>
        <v>11.111376385118584</v>
      </c>
      <c r="AB12" s="288">
        <f t="shared" si="8"/>
        <v>10.344858838140967</v>
      </c>
      <c r="AC12" s="289">
        <f t="shared" si="8"/>
        <v>10.204903563400048</v>
      </c>
      <c r="AD12" s="290">
        <f t="shared" si="8"/>
        <v>10.191551440882062</v>
      </c>
      <c r="AE12" s="287" t="s">
        <v>142</v>
      </c>
      <c r="AF12" s="127" t="s">
        <v>142</v>
      </c>
    </row>
    <row r="13" spans="1:35" ht="15.95" customHeight="1">
      <c r="A13" s="1486"/>
      <c r="B13" s="2588" t="s">
        <v>972</v>
      </c>
      <c r="C13" s="2588"/>
      <c r="D13" s="1473">
        <f>ROUNDDOWN(T13,-6)/1000000</f>
        <v>34491</v>
      </c>
      <c r="E13" s="1473">
        <f>ROUNDDOWN(U13,-6)/1000000</f>
        <v>32396</v>
      </c>
      <c r="F13" s="1473">
        <f t="shared" ref="F13:N13" si="9">ROUNDDOWN(V13,-6)/1000000</f>
        <v>36071</v>
      </c>
      <c r="G13" s="1473">
        <f t="shared" si="9"/>
        <v>37123</v>
      </c>
      <c r="H13" s="1473">
        <f t="shared" si="9"/>
        <v>36009</v>
      </c>
      <c r="I13" s="1473">
        <f t="shared" si="9"/>
        <v>36227</v>
      </c>
      <c r="J13" s="1473">
        <f t="shared" si="9"/>
        <v>41574</v>
      </c>
      <c r="K13" s="1473">
        <f t="shared" si="9"/>
        <v>43778</v>
      </c>
      <c r="L13" s="1473">
        <f t="shared" si="9"/>
        <v>48937</v>
      </c>
      <c r="M13" s="1473">
        <f t="shared" si="9"/>
        <v>54206</v>
      </c>
      <c r="N13" s="1473">
        <f t="shared" si="9"/>
        <v>59847</v>
      </c>
      <c r="O13" s="1492">
        <f t="shared" si="3"/>
        <v>10.406847071218994</v>
      </c>
      <c r="P13" s="1492">
        <f t="shared" si="3"/>
        <v>5.6655643894753194</v>
      </c>
      <c r="Q13" s="1486"/>
      <c r="S13" s="282" t="s">
        <v>370</v>
      </c>
      <c r="T13" s="284">
        <v>34491567063</v>
      </c>
      <c r="U13" s="284">
        <v>32396977642</v>
      </c>
      <c r="V13" s="284">
        <v>36071469196</v>
      </c>
      <c r="W13" s="284">
        <v>37123422424</v>
      </c>
      <c r="X13" s="284">
        <v>36009064791</v>
      </c>
      <c r="Y13" s="284">
        <v>36227019265</v>
      </c>
      <c r="Z13" s="284">
        <v>41574491701</v>
      </c>
      <c r="AA13" s="284">
        <v>43778105000</v>
      </c>
      <c r="AB13" s="283">
        <v>48937718092</v>
      </c>
      <c r="AC13" s="285">
        <v>54206540246</v>
      </c>
      <c r="AD13" s="286">
        <v>59847731992</v>
      </c>
      <c r="AE13" s="287">
        <f>IF(OR(AC13&lt;0,AD13&lt;0),"-",(AD13/AC13-1)*100)</f>
        <v>10.406847071218994</v>
      </c>
      <c r="AF13" s="127">
        <f>IF(OR(AND(AD13&gt;0,T13&lt;0),AND(AD13&lt;0,T13&gt;0),AND(AD13&lt;0,T13&lt;0)),"-",((AD13/T13)^(1/10)-1)*100)</f>
        <v>5.6655643894753194</v>
      </c>
      <c r="AH13" s="83">
        <f>Ⅰ_主要ﾃﾞｰﾀ!AG9</f>
        <v>59847731992</v>
      </c>
      <c r="AI13" s="83" t="str">
        <f>IF($AD13=$AH13,"OK","NG")</f>
        <v>OK</v>
      </c>
    </row>
    <row r="14" spans="1:35" ht="15.95" customHeight="1">
      <c r="A14" s="1486"/>
      <c r="B14" s="2584" t="s">
        <v>973</v>
      </c>
      <c r="C14" s="2584"/>
      <c r="D14" s="1254">
        <f>T14</f>
        <v>50.273820203878294</v>
      </c>
      <c r="E14" s="1254">
        <f>U14</f>
        <v>48.224399887535647</v>
      </c>
      <c r="F14" s="1254">
        <f t="shared" ref="F14:N14" si="10">V14</f>
        <v>47.996869588733709</v>
      </c>
      <c r="G14" s="1254">
        <f t="shared" si="10"/>
        <v>46.457356834276169</v>
      </c>
      <c r="H14" s="1254">
        <f t="shared" si="10"/>
        <v>46.080888423132777</v>
      </c>
      <c r="I14" s="1254">
        <f t="shared" si="10"/>
        <v>48.383426929033632</v>
      </c>
      <c r="J14" s="1254">
        <f t="shared" si="10"/>
        <v>51.022591366013302</v>
      </c>
      <c r="K14" s="1254">
        <f t="shared" si="10"/>
        <v>49.311666594049228</v>
      </c>
      <c r="L14" s="1254">
        <f t="shared" si="10"/>
        <v>50.137915809437793</v>
      </c>
      <c r="M14" s="1254">
        <f t="shared" si="10"/>
        <v>52.110811956637448</v>
      </c>
      <c r="N14" s="1254">
        <f t="shared" si="10"/>
        <v>52.565302035887207</v>
      </c>
      <c r="O14" s="1493" t="str">
        <f>AE14</f>
        <v>-</v>
      </c>
      <c r="P14" s="1493" t="str">
        <f>AF14</f>
        <v>-</v>
      </c>
      <c r="Q14" s="1486"/>
      <c r="S14" s="282" t="s">
        <v>316</v>
      </c>
      <c r="T14" s="288">
        <f t="shared" ref="T14:AD14" si="11">T13/T7*100</f>
        <v>50.273820203878294</v>
      </c>
      <c r="U14" s="288">
        <f t="shared" si="11"/>
        <v>48.224399887535647</v>
      </c>
      <c r="V14" s="288">
        <f t="shared" si="11"/>
        <v>47.996869588733709</v>
      </c>
      <c r="W14" s="288">
        <f t="shared" si="11"/>
        <v>46.457356834276169</v>
      </c>
      <c r="X14" s="288">
        <f t="shared" si="11"/>
        <v>46.080888423132777</v>
      </c>
      <c r="Y14" s="288">
        <f t="shared" si="11"/>
        <v>48.383426929033632</v>
      </c>
      <c r="Z14" s="288">
        <f t="shared" si="11"/>
        <v>51.022591366013302</v>
      </c>
      <c r="AA14" s="288">
        <f t="shared" si="11"/>
        <v>49.311666594049228</v>
      </c>
      <c r="AB14" s="288">
        <f t="shared" si="11"/>
        <v>50.137915809437793</v>
      </c>
      <c r="AC14" s="289">
        <f t="shared" si="11"/>
        <v>52.110811956637448</v>
      </c>
      <c r="AD14" s="290">
        <f t="shared" si="11"/>
        <v>52.565302035887207</v>
      </c>
      <c r="AE14" s="287" t="s">
        <v>142</v>
      </c>
      <c r="AF14" s="127" t="s">
        <v>21</v>
      </c>
    </row>
    <row r="15" spans="1:35" ht="15.95" customHeight="1">
      <c r="A15" s="1486"/>
      <c r="B15" s="2588" t="s">
        <v>1250</v>
      </c>
      <c r="C15" s="2588"/>
      <c r="D15" s="1473">
        <f t="shared" ref="D15:E21" si="12">ROUNDDOWN(T15,-6)/1000000</f>
        <v>811</v>
      </c>
      <c r="E15" s="1473">
        <f t="shared" si="12"/>
        <v>680</v>
      </c>
      <c r="F15" s="1473">
        <f t="shared" ref="F15:N21" si="13">ROUNDDOWN(V15,-6)/1000000</f>
        <v>681</v>
      </c>
      <c r="G15" s="1473">
        <f t="shared" si="13"/>
        <v>990</v>
      </c>
      <c r="H15" s="1473">
        <f t="shared" si="13"/>
        <v>866</v>
      </c>
      <c r="I15" s="1473">
        <f t="shared" si="13"/>
        <v>950</v>
      </c>
      <c r="J15" s="1473">
        <f t="shared" si="13"/>
        <v>984</v>
      </c>
      <c r="K15" s="1473">
        <f t="shared" si="13"/>
        <v>915</v>
      </c>
      <c r="L15" s="1473">
        <f t="shared" si="13"/>
        <v>922</v>
      </c>
      <c r="M15" s="1473">
        <f t="shared" si="13"/>
        <v>881</v>
      </c>
      <c r="N15" s="1473">
        <f t="shared" si="13"/>
        <v>933</v>
      </c>
      <c r="O15" s="1492">
        <f t="shared" si="3"/>
        <v>5.9555111505171565</v>
      </c>
      <c r="P15" s="1492">
        <f t="shared" si="3"/>
        <v>1.4126391581520625</v>
      </c>
      <c r="Q15" s="1486"/>
      <c r="S15" s="293" t="s">
        <v>334</v>
      </c>
      <c r="T15" s="291">
        <v>811668050</v>
      </c>
      <c r="U15" s="291">
        <v>680006724</v>
      </c>
      <c r="V15" s="291">
        <v>681582099</v>
      </c>
      <c r="W15" s="291">
        <v>990080540</v>
      </c>
      <c r="X15" s="292">
        <v>866333316</v>
      </c>
      <c r="Y15" s="291">
        <v>950393695</v>
      </c>
      <c r="Z15" s="291">
        <v>984914781</v>
      </c>
      <c r="AA15" s="292">
        <v>915063897</v>
      </c>
      <c r="AB15" s="291">
        <v>922851760</v>
      </c>
      <c r="AC15" s="294">
        <v>881405486</v>
      </c>
      <c r="AD15" s="295">
        <v>933897688</v>
      </c>
      <c r="AE15" s="296">
        <f t="shared" ref="AE15:AE21" si="14">IF(OR(AC15&lt;0,AD15&lt;0),"-",(AD15/AC15-1)*100)</f>
        <v>5.9555111505171565</v>
      </c>
      <c r="AF15" s="105">
        <f t="shared" ref="AF15:AF21" si="15">IF(OR(AND(AD15&gt;0,T15&lt;0),AND(AD15&lt;0,T15&gt;0),AND(AD15&lt;0,T15&lt;0)),"-",((AD15/T15)^(1/10)-1)*100)</f>
        <v>1.4126391581520625</v>
      </c>
    </row>
    <row r="16" spans="1:35" ht="15.95" customHeight="1">
      <c r="A16" s="1486"/>
      <c r="B16" s="2586" t="s">
        <v>1249</v>
      </c>
      <c r="C16" s="2586"/>
      <c r="D16" s="1494">
        <f t="shared" si="12"/>
        <v>84</v>
      </c>
      <c r="E16" s="1494">
        <f t="shared" si="12"/>
        <v>77</v>
      </c>
      <c r="F16" s="1494">
        <f t="shared" si="13"/>
        <v>76</v>
      </c>
      <c r="G16" s="1494">
        <f t="shared" si="13"/>
        <v>74</v>
      </c>
      <c r="H16" s="1494">
        <f t="shared" si="13"/>
        <v>165</v>
      </c>
      <c r="I16" s="1494">
        <f t="shared" si="13"/>
        <v>181</v>
      </c>
      <c r="J16" s="1494">
        <f t="shared" si="13"/>
        <v>185</v>
      </c>
      <c r="K16" s="1494">
        <f t="shared" si="13"/>
        <v>201</v>
      </c>
      <c r="L16" s="1494">
        <f t="shared" si="13"/>
        <v>205</v>
      </c>
      <c r="M16" s="1494">
        <f t="shared" si="13"/>
        <v>204</v>
      </c>
      <c r="N16" s="1494">
        <f t="shared" si="13"/>
        <v>191</v>
      </c>
      <c r="O16" s="1495">
        <f t="shared" si="3"/>
        <v>-6.3280843917426166</v>
      </c>
      <c r="P16" s="1495">
        <f t="shared" si="3"/>
        <v>8.5094728616081472</v>
      </c>
      <c r="Q16" s="1486"/>
      <c r="S16" s="298" t="s">
        <v>336</v>
      </c>
      <c r="T16" s="299">
        <v>84492029</v>
      </c>
      <c r="U16" s="299">
        <v>77107823</v>
      </c>
      <c r="V16" s="299">
        <v>76861774</v>
      </c>
      <c r="W16" s="299">
        <v>74145566</v>
      </c>
      <c r="X16" s="300">
        <v>165075044</v>
      </c>
      <c r="Y16" s="299">
        <v>181397435</v>
      </c>
      <c r="Z16" s="299">
        <v>185221608</v>
      </c>
      <c r="AA16" s="300">
        <v>201695976</v>
      </c>
      <c r="AB16" s="301">
        <v>205782622</v>
      </c>
      <c r="AC16" s="302">
        <v>204118738</v>
      </c>
      <c r="AD16" s="303">
        <v>191201932</v>
      </c>
      <c r="AE16" s="304">
        <f t="shared" si="14"/>
        <v>-6.3280843917426166</v>
      </c>
      <c r="AF16" s="305">
        <f t="shared" si="15"/>
        <v>8.5094728616081472</v>
      </c>
    </row>
    <row r="17" spans="1:35" ht="15.95" customHeight="1">
      <c r="A17" s="1486"/>
      <c r="B17" s="2587" t="s">
        <v>1248</v>
      </c>
      <c r="C17" s="2587"/>
      <c r="D17" s="1496">
        <f t="shared" si="12"/>
        <v>35218</v>
      </c>
      <c r="E17" s="1496">
        <f t="shared" si="12"/>
        <v>32999</v>
      </c>
      <c r="F17" s="1496">
        <f t="shared" si="13"/>
        <v>36676</v>
      </c>
      <c r="G17" s="1496">
        <f t="shared" si="13"/>
        <v>38039</v>
      </c>
      <c r="H17" s="1496">
        <f t="shared" si="13"/>
        <v>36710</v>
      </c>
      <c r="I17" s="1496">
        <f t="shared" si="13"/>
        <v>36996</v>
      </c>
      <c r="J17" s="1496">
        <f t="shared" si="13"/>
        <v>42374</v>
      </c>
      <c r="K17" s="1496">
        <f t="shared" si="13"/>
        <v>44491</v>
      </c>
      <c r="L17" s="1496">
        <f t="shared" si="13"/>
        <v>49654</v>
      </c>
      <c r="M17" s="1496">
        <f t="shared" si="13"/>
        <v>54883</v>
      </c>
      <c r="N17" s="1496">
        <f t="shared" si="13"/>
        <v>60590</v>
      </c>
      <c r="O17" s="1497">
        <f t="shared" si="3"/>
        <v>10.397599924334466</v>
      </c>
      <c r="P17" s="1497">
        <f t="shared" si="3"/>
        <v>5.5754683260195614</v>
      </c>
      <c r="Q17" s="1486"/>
      <c r="S17" s="282" t="s">
        <v>337</v>
      </c>
      <c r="T17" s="284">
        <v>35218743084</v>
      </c>
      <c r="U17" s="284">
        <v>32999876543</v>
      </c>
      <c r="V17" s="284">
        <v>36676189521</v>
      </c>
      <c r="W17" s="284">
        <v>38039357398</v>
      </c>
      <c r="X17" s="284">
        <v>36710323063</v>
      </c>
      <c r="Y17" s="284">
        <v>36996015525</v>
      </c>
      <c r="Z17" s="284">
        <v>42374184874</v>
      </c>
      <c r="AA17" s="284">
        <v>44491472921</v>
      </c>
      <c r="AB17" s="283">
        <v>49654787230</v>
      </c>
      <c r="AC17" s="285">
        <v>54883826994</v>
      </c>
      <c r="AD17" s="286">
        <v>60590427748</v>
      </c>
      <c r="AE17" s="287">
        <f t="shared" si="14"/>
        <v>10.397599924334466</v>
      </c>
      <c r="AF17" s="127">
        <f t="shared" si="15"/>
        <v>5.5754683260195614</v>
      </c>
      <c r="AH17" s="83">
        <f>Ⅰ_主要ﾃﾞｰﾀ!AG10</f>
        <v>60590427748</v>
      </c>
      <c r="AI17" s="83" t="str">
        <f>IF($AD17=$AH17,"OK","NG")</f>
        <v>OK</v>
      </c>
    </row>
    <row r="18" spans="1:35" ht="15.95" customHeight="1">
      <c r="A18" s="1486"/>
      <c r="B18" s="2588" t="s">
        <v>1247</v>
      </c>
      <c r="C18" s="2588"/>
      <c r="D18" s="1473">
        <f t="shared" si="12"/>
        <v>63</v>
      </c>
      <c r="E18" s="1473">
        <f t="shared" si="12"/>
        <v>154</v>
      </c>
      <c r="F18" s="1473">
        <f t="shared" si="13"/>
        <v>109</v>
      </c>
      <c r="G18" s="1473">
        <f t="shared" si="13"/>
        <v>472</v>
      </c>
      <c r="H18" s="1473">
        <f t="shared" si="13"/>
        <v>38</v>
      </c>
      <c r="I18" s="1473">
        <f t="shared" si="13"/>
        <v>57</v>
      </c>
      <c r="J18" s="1473">
        <f t="shared" si="13"/>
        <v>1650</v>
      </c>
      <c r="K18" s="1473">
        <f t="shared" si="13"/>
        <v>72</v>
      </c>
      <c r="L18" s="1473">
        <f t="shared" si="13"/>
        <v>74</v>
      </c>
      <c r="M18" s="1473">
        <f t="shared" si="13"/>
        <v>326</v>
      </c>
      <c r="N18" s="1473">
        <f t="shared" si="13"/>
        <v>497</v>
      </c>
      <c r="O18" s="1492">
        <f t="shared" si="3"/>
        <v>52.513715214752366</v>
      </c>
      <c r="P18" s="1492">
        <f t="shared" si="3"/>
        <v>22.829826561304568</v>
      </c>
      <c r="Q18" s="1486"/>
      <c r="S18" s="307" t="s">
        <v>338</v>
      </c>
      <c r="T18" s="308">
        <v>63694516</v>
      </c>
      <c r="U18" s="308">
        <v>154552603</v>
      </c>
      <c r="V18" s="308">
        <v>109563333</v>
      </c>
      <c r="W18" s="308">
        <v>472842415</v>
      </c>
      <c r="X18" s="309">
        <v>38740950</v>
      </c>
      <c r="Y18" s="308">
        <v>57491885</v>
      </c>
      <c r="Z18" s="308">
        <v>1650260968</v>
      </c>
      <c r="AA18" s="309">
        <v>72523898</v>
      </c>
      <c r="AB18" s="308">
        <v>74952038</v>
      </c>
      <c r="AC18" s="310">
        <v>326461166</v>
      </c>
      <c r="AD18" s="311">
        <v>497898053</v>
      </c>
      <c r="AE18" s="312">
        <f>IF(OR(AC18&lt;0,AD18&lt;0),"-",(AD18/AC18-1)*100)</f>
        <v>52.513715214752366</v>
      </c>
      <c r="AF18" s="313">
        <f t="shared" si="15"/>
        <v>22.829826561304568</v>
      </c>
    </row>
    <row r="19" spans="1:35" ht="15.95" customHeight="1">
      <c r="A19" s="1486"/>
      <c r="B19" s="2586" t="s">
        <v>1246</v>
      </c>
      <c r="C19" s="2586"/>
      <c r="D19" s="1494">
        <f t="shared" si="12"/>
        <v>864</v>
      </c>
      <c r="E19" s="1494">
        <f t="shared" si="12"/>
        <v>672</v>
      </c>
      <c r="F19" s="1494">
        <f t="shared" si="13"/>
        <v>128</v>
      </c>
      <c r="G19" s="1494">
        <f t="shared" si="13"/>
        <v>181</v>
      </c>
      <c r="H19" s="1494">
        <f t="shared" si="13"/>
        <v>4013</v>
      </c>
      <c r="I19" s="1494">
        <f t="shared" si="13"/>
        <v>21832</v>
      </c>
      <c r="J19" s="1494">
        <f t="shared" si="13"/>
        <v>149</v>
      </c>
      <c r="K19" s="1494">
        <f t="shared" si="13"/>
        <v>62</v>
      </c>
      <c r="L19" s="1494">
        <f t="shared" si="13"/>
        <v>1071</v>
      </c>
      <c r="M19" s="1494">
        <f t="shared" si="13"/>
        <v>254</v>
      </c>
      <c r="N19" s="1494">
        <f t="shared" si="13"/>
        <v>509</v>
      </c>
      <c r="O19" s="1498">
        <f t="shared" si="3"/>
        <v>99.888243211237111</v>
      </c>
      <c r="P19" s="1498">
        <f t="shared" si="3"/>
        <v>-5.1437119587843583</v>
      </c>
      <c r="Q19" s="1486"/>
      <c r="S19" s="274" t="s">
        <v>339</v>
      </c>
      <c r="T19" s="275">
        <v>864194697</v>
      </c>
      <c r="U19" s="275">
        <v>672783320</v>
      </c>
      <c r="V19" s="275">
        <v>128518488</v>
      </c>
      <c r="W19" s="275">
        <v>181835975</v>
      </c>
      <c r="X19" s="276">
        <v>4013045671</v>
      </c>
      <c r="Y19" s="275">
        <v>21832905021</v>
      </c>
      <c r="Z19" s="275">
        <v>149626444</v>
      </c>
      <c r="AA19" s="276">
        <v>62237408</v>
      </c>
      <c r="AB19" s="275">
        <v>1071252624</v>
      </c>
      <c r="AC19" s="277">
        <v>254967956</v>
      </c>
      <c r="AD19" s="278">
        <v>509650968</v>
      </c>
      <c r="AE19" s="279">
        <f t="shared" si="14"/>
        <v>99.888243211237111</v>
      </c>
      <c r="AF19" s="97">
        <f t="shared" si="15"/>
        <v>-5.1437119587843583</v>
      </c>
    </row>
    <row r="20" spans="1:35" ht="15.95" customHeight="1">
      <c r="A20" s="1486"/>
      <c r="B20" s="2587" t="s">
        <v>1131</v>
      </c>
      <c r="C20" s="2587"/>
      <c r="D20" s="1496">
        <f t="shared" si="12"/>
        <v>34418</v>
      </c>
      <c r="E20" s="1496">
        <f t="shared" si="12"/>
        <v>32481</v>
      </c>
      <c r="F20" s="1496">
        <f t="shared" si="13"/>
        <v>36657</v>
      </c>
      <c r="G20" s="1496">
        <f t="shared" si="13"/>
        <v>38330</v>
      </c>
      <c r="H20" s="1496">
        <f t="shared" si="13"/>
        <v>32736</v>
      </c>
      <c r="I20" s="1496">
        <f t="shared" si="13"/>
        <v>15220</v>
      </c>
      <c r="J20" s="1496">
        <f t="shared" si="13"/>
        <v>43874</v>
      </c>
      <c r="K20" s="1496">
        <f t="shared" si="13"/>
        <v>44501</v>
      </c>
      <c r="L20" s="1496">
        <f t="shared" si="13"/>
        <v>48658</v>
      </c>
      <c r="M20" s="1496">
        <f t="shared" si="13"/>
        <v>54955</v>
      </c>
      <c r="N20" s="1496">
        <f t="shared" si="13"/>
        <v>60578</v>
      </c>
      <c r="O20" s="1497">
        <f t="shared" si="3"/>
        <v>10.232593692704373</v>
      </c>
      <c r="P20" s="1497">
        <f t="shared" si="3"/>
        <v>5.8164304876958894</v>
      </c>
      <c r="Q20" s="1486"/>
      <c r="S20" s="282" t="str">
        <f>IF(RIGHT(AD5,1)="3","税金等調整前当期純利益","税金等調整前四半期純利益")</f>
        <v>税金等調整前当期純利益</v>
      </c>
      <c r="T20" s="284">
        <v>34418242903</v>
      </c>
      <c r="U20" s="284">
        <v>32481645826</v>
      </c>
      <c r="V20" s="284">
        <v>36657234366</v>
      </c>
      <c r="W20" s="284">
        <v>38330363838</v>
      </c>
      <c r="X20" s="284">
        <v>32736018342</v>
      </c>
      <c r="Y20" s="284">
        <v>15220602389</v>
      </c>
      <c r="Z20" s="284">
        <v>43874819398</v>
      </c>
      <c r="AA20" s="284">
        <v>44501759411</v>
      </c>
      <c r="AB20" s="314">
        <v>48658486644</v>
      </c>
      <c r="AC20" s="285">
        <v>54955320204</v>
      </c>
      <c r="AD20" s="286">
        <v>60578674833</v>
      </c>
      <c r="AE20" s="287">
        <f t="shared" si="14"/>
        <v>10.232593692704373</v>
      </c>
      <c r="AF20" s="127">
        <f t="shared" si="15"/>
        <v>5.8164304876958894</v>
      </c>
    </row>
    <row r="21" spans="1:35" ht="15.95" customHeight="1">
      <c r="A21" s="1486"/>
      <c r="B21" s="2588" t="s">
        <v>974</v>
      </c>
      <c r="C21" s="2588"/>
      <c r="D21" s="1473">
        <f t="shared" si="12"/>
        <v>11860</v>
      </c>
      <c r="E21" s="1473">
        <f t="shared" si="12"/>
        <v>9475</v>
      </c>
      <c r="F21" s="1473">
        <f t="shared" si="13"/>
        <v>11617</v>
      </c>
      <c r="G21" s="1473">
        <f t="shared" si="13"/>
        <v>12391</v>
      </c>
      <c r="H21" s="1473">
        <f t="shared" si="13"/>
        <v>11914</v>
      </c>
      <c r="I21" s="1473">
        <f t="shared" si="13"/>
        <v>10962</v>
      </c>
      <c r="J21" s="1473">
        <f t="shared" si="13"/>
        <v>13246</v>
      </c>
      <c r="K21" s="1473">
        <f t="shared" si="13"/>
        <v>13784</v>
      </c>
      <c r="L21" s="1473">
        <f t="shared" si="13"/>
        <v>15133</v>
      </c>
      <c r="M21" s="1473">
        <f t="shared" si="13"/>
        <v>16966</v>
      </c>
      <c r="N21" s="1473">
        <f t="shared" si="13"/>
        <v>18673</v>
      </c>
      <c r="O21" s="1492">
        <f t="shared" si="3"/>
        <v>10.059844321824274</v>
      </c>
      <c r="P21" s="1492">
        <f t="shared" si="3"/>
        <v>4.6435481503283471</v>
      </c>
      <c r="Q21" s="1486"/>
      <c r="S21" s="282" t="s">
        <v>353</v>
      </c>
      <c r="T21" s="283">
        <v>11860490487</v>
      </c>
      <c r="U21" s="283">
        <v>9475339485</v>
      </c>
      <c r="V21" s="283">
        <v>11617345889</v>
      </c>
      <c r="W21" s="283">
        <v>12391482903</v>
      </c>
      <c r="X21" s="284">
        <v>11914387376</v>
      </c>
      <c r="Y21" s="283">
        <v>10962307776</v>
      </c>
      <c r="Z21" s="283">
        <v>13246838698</v>
      </c>
      <c r="AA21" s="284">
        <v>13784141969</v>
      </c>
      <c r="AB21" s="283">
        <v>15133073013</v>
      </c>
      <c r="AC21" s="285">
        <v>16966736844</v>
      </c>
      <c r="AD21" s="286">
        <v>18673564157</v>
      </c>
      <c r="AE21" s="287">
        <f t="shared" si="14"/>
        <v>10.059844321824274</v>
      </c>
      <c r="AF21" s="127">
        <f t="shared" si="15"/>
        <v>4.6435481503283471</v>
      </c>
    </row>
    <row r="22" spans="1:35" ht="15.95" customHeight="1">
      <c r="A22" s="1486"/>
      <c r="B22" s="2584" t="s">
        <v>975</v>
      </c>
      <c r="C22" s="2584"/>
      <c r="D22" s="1254">
        <f>T22</f>
        <v>34.459895353827612</v>
      </c>
      <c r="E22" s="1254">
        <f>U22</f>
        <v>29.171365071087145</v>
      </c>
      <c r="F22" s="1254">
        <f t="shared" ref="F22:M22" si="16">V22</f>
        <v>31.691823155582131</v>
      </c>
      <c r="G22" s="1254">
        <f t="shared" si="16"/>
        <v>32.328111873322001</v>
      </c>
      <c r="H22" s="1254">
        <f t="shared" si="16"/>
        <v>36.395346714215258</v>
      </c>
      <c r="I22" s="1254">
        <f t="shared" si="16"/>
        <v>72.022824693998388</v>
      </c>
      <c r="J22" s="1254">
        <f t="shared" si="16"/>
        <v>30.192349233017808</v>
      </c>
      <c r="K22" s="1254">
        <f>AA22</f>
        <v>30.974375286368605</v>
      </c>
      <c r="L22" s="1254">
        <f t="shared" si="16"/>
        <v>31.100582974801654</v>
      </c>
      <c r="M22" s="1254">
        <f t="shared" si="16"/>
        <v>30.873692994632123</v>
      </c>
      <c r="N22" s="1254">
        <f>AD22</f>
        <v>30.825309745514023</v>
      </c>
      <c r="O22" s="1493" t="str">
        <f>AE22</f>
        <v>-</v>
      </c>
      <c r="P22" s="1493" t="str">
        <f>AF22</f>
        <v>-</v>
      </c>
      <c r="Q22" s="1486"/>
      <c r="S22" s="282" t="s">
        <v>317</v>
      </c>
      <c r="T22" s="289">
        <f>T21/T20*100</f>
        <v>34.459895353827612</v>
      </c>
      <c r="U22" s="289">
        <f>U21/U20*100</f>
        <v>29.171365071087145</v>
      </c>
      <c r="V22" s="289">
        <f t="shared" ref="V22:AC22" si="17">V21/V20*100</f>
        <v>31.691823155582131</v>
      </c>
      <c r="W22" s="289">
        <f t="shared" si="17"/>
        <v>32.328111873322001</v>
      </c>
      <c r="X22" s="289">
        <f t="shared" si="17"/>
        <v>36.395346714215258</v>
      </c>
      <c r="Y22" s="288">
        <f t="shared" si="17"/>
        <v>72.022824693998388</v>
      </c>
      <c r="Z22" s="289">
        <f t="shared" si="17"/>
        <v>30.192349233017808</v>
      </c>
      <c r="AA22" s="289">
        <f t="shared" si="17"/>
        <v>30.974375286368605</v>
      </c>
      <c r="AB22" s="288">
        <f t="shared" si="17"/>
        <v>31.100582974801654</v>
      </c>
      <c r="AC22" s="289">
        <f t="shared" si="17"/>
        <v>30.873692994632123</v>
      </c>
      <c r="AD22" s="290">
        <f>AD21/AD20*100</f>
        <v>30.825309745514023</v>
      </c>
      <c r="AE22" s="287" t="s">
        <v>142</v>
      </c>
      <c r="AF22" s="127" t="s">
        <v>142</v>
      </c>
    </row>
    <row r="23" spans="1:35" ht="15.95" customHeight="1" thickBot="1">
      <c r="A23" s="1486"/>
      <c r="B23" s="2585" t="s">
        <v>976</v>
      </c>
      <c r="C23" s="2585"/>
      <c r="D23" s="1470">
        <f>ROUNDDOWN(T23,-6)/1000000</f>
        <v>80</v>
      </c>
      <c r="E23" s="1470">
        <f>ROUNDDOWN(U23,-6)/1000000</f>
        <v>96</v>
      </c>
      <c r="F23" s="1470">
        <f t="shared" ref="F23:N24" si="18">ROUNDDOWN(V23,-6)/1000000</f>
        <v>753</v>
      </c>
      <c r="G23" s="1470">
        <f t="shared" si="18"/>
        <v>395</v>
      </c>
      <c r="H23" s="1470">
        <f t="shared" si="18"/>
        <v>187</v>
      </c>
      <c r="I23" s="1470">
        <f t="shared" si="18"/>
        <v>235</v>
      </c>
      <c r="J23" s="1470">
        <f t="shared" si="18"/>
        <v>882</v>
      </c>
      <c r="K23" s="1470">
        <f t="shared" si="18"/>
        <v>708</v>
      </c>
      <c r="L23" s="1470">
        <f t="shared" si="18"/>
        <v>618</v>
      </c>
      <c r="M23" s="1470">
        <f t="shared" si="18"/>
        <v>352</v>
      </c>
      <c r="N23" s="1470">
        <f t="shared" si="18"/>
        <v>544</v>
      </c>
      <c r="O23" s="1499">
        <f t="shared" si="3"/>
        <v>54.575664637285847</v>
      </c>
      <c r="P23" s="1499">
        <f t="shared" si="3"/>
        <v>21.088165264093895</v>
      </c>
      <c r="Q23" s="1486"/>
      <c r="S23" s="317" t="s">
        <v>320</v>
      </c>
      <c r="T23" s="315">
        <v>80313724</v>
      </c>
      <c r="U23" s="315">
        <v>96488741</v>
      </c>
      <c r="V23" s="315">
        <v>753955778</v>
      </c>
      <c r="W23" s="315">
        <v>395341533</v>
      </c>
      <c r="X23" s="316">
        <v>187199910</v>
      </c>
      <c r="Y23" s="315">
        <v>235717726</v>
      </c>
      <c r="Z23" s="315">
        <v>882384061</v>
      </c>
      <c r="AA23" s="316">
        <v>708629193</v>
      </c>
      <c r="AB23" s="315">
        <v>618924392</v>
      </c>
      <c r="AC23" s="318">
        <v>352099679</v>
      </c>
      <c r="AD23" s="319">
        <v>544260419</v>
      </c>
      <c r="AE23" s="320">
        <f>IF(OR(AC23&lt;0,AD23&lt;0),"-",(AD23/AC23-1)*100)</f>
        <v>54.575664637285847</v>
      </c>
      <c r="AF23" s="321">
        <f>IF(OR(AND(AD23&gt;0,T23&lt;0),AND(AD23&lt;0,T23&gt;0),AND(AD23&lt;0,T23&lt;0)),"-",((AD23/T23)^(1/10)-1)*100)</f>
        <v>21.088165264093895</v>
      </c>
    </row>
    <row r="24" spans="1:35" ht="15.95" customHeight="1" thickTop="1" thickBot="1">
      <c r="A24" s="1486"/>
      <c r="B24" s="2586" t="s">
        <v>977</v>
      </c>
      <c r="C24" s="2586"/>
      <c r="D24" s="1494">
        <f>ROUNDDOWN(T24,-6)/1000000</f>
        <v>22477</v>
      </c>
      <c r="E24" s="1494">
        <f>ROUNDDOWN(U24,-6)/1000000</f>
        <v>22909</v>
      </c>
      <c r="F24" s="1494">
        <f t="shared" si="18"/>
        <v>24285</v>
      </c>
      <c r="G24" s="1494">
        <f t="shared" si="18"/>
        <v>25543</v>
      </c>
      <c r="H24" s="1494">
        <f t="shared" si="18"/>
        <v>20634</v>
      </c>
      <c r="I24" s="1494">
        <f t="shared" si="18"/>
        <v>4022</v>
      </c>
      <c r="J24" s="1494">
        <f t="shared" si="18"/>
        <v>29745</v>
      </c>
      <c r="K24" s="1494">
        <f t="shared" si="18"/>
        <v>30008</v>
      </c>
      <c r="L24" s="1494">
        <f t="shared" si="18"/>
        <v>32906</v>
      </c>
      <c r="M24" s="1494">
        <f t="shared" si="18"/>
        <v>37636</v>
      </c>
      <c r="N24" s="1494">
        <f t="shared" si="18"/>
        <v>41360</v>
      </c>
      <c r="O24" s="1500">
        <f t="shared" si="3"/>
        <v>9.8956284215259149</v>
      </c>
      <c r="P24" s="1500">
        <f t="shared" si="3"/>
        <v>6.2880069806386718</v>
      </c>
      <c r="Q24" s="1486"/>
      <c r="S24" s="322" t="s">
        <v>7</v>
      </c>
      <c r="T24" s="323">
        <v>22477438692</v>
      </c>
      <c r="U24" s="323">
        <v>22909817600</v>
      </c>
      <c r="V24" s="323">
        <v>24285932699</v>
      </c>
      <c r="W24" s="323">
        <v>25543539402</v>
      </c>
      <c r="X24" s="323">
        <v>20634431056</v>
      </c>
      <c r="Y24" s="323">
        <v>4022576887</v>
      </c>
      <c r="Z24" s="323">
        <v>29745596639</v>
      </c>
      <c r="AA24" s="323">
        <v>30008988249</v>
      </c>
      <c r="AB24" s="324">
        <v>32906489239</v>
      </c>
      <c r="AC24" s="325">
        <v>37636483681</v>
      </c>
      <c r="AD24" s="326">
        <v>41360850257</v>
      </c>
      <c r="AE24" s="327">
        <f>IF(OR(AC24&lt;0,AD24&lt;0),"-",(AD24/AC24-1)*100)</f>
        <v>9.8956284215259149</v>
      </c>
      <c r="AF24" s="328">
        <f>IF(OR(AND(AD24&gt;0,T24&lt;0),AND(AD24&lt;0,T24&gt;0),AND(AD24&lt;0,T24&lt;0)),"-",((AD24/T24)^(1/10)-1)*100)</f>
        <v>6.2880069806386718</v>
      </c>
      <c r="AH24" s="83">
        <f>Ⅰ_主要ﾃﾞｰﾀ!AG11</f>
        <v>41360850257</v>
      </c>
      <c r="AI24" s="83" t="str">
        <f>IF($AD24=$AH24,"OK","NG")</f>
        <v>OK</v>
      </c>
    </row>
    <row r="25" spans="1:35" ht="15.95" customHeight="1" thickTop="1" thickBot="1">
      <c r="A25" s="1486"/>
      <c r="B25" s="2586" t="s">
        <v>978</v>
      </c>
      <c r="C25" s="2586"/>
      <c r="D25" s="1501">
        <f>IF(T25="","-",ROUNDDOWN(T25,-6)/1000000)</f>
        <v>22473</v>
      </c>
      <c r="E25" s="1501">
        <f t="shared" ref="E25:L25" si="19">IF(U25="","-",ROUNDDOWN(U25,-6)/1000000)</f>
        <v>22895</v>
      </c>
      <c r="F25" s="1501">
        <f t="shared" si="19"/>
        <v>25132</v>
      </c>
      <c r="G25" s="1501">
        <f t="shared" si="19"/>
        <v>25848</v>
      </c>
      <c r="H25" s="1501">
        <f t="shared" si="19"/>
        <v>20764</v>
      </c>
      <c r="I25" s="1501">
        <f t="shared" si="19"/>
        <v>4628</v>
      </c>
      <c r="J25" s="1501">
        <f t="shared" si="19"/>
        <v>31187</v>
      </c>
      <c r="K25" s="1501">
        <f t="shared" si="19"/>
        <v>30458</v>
      </c>
      <c r="L25" s="1501">
        <f t="shared" si="19"/>
        <v>33262</v>
      </c>
      <c r="M25" s="1494">
        <f>ROUNDDOWN(AC25,-6)/1000000</f>
        <v>37845</v>
      </c>
      <c r="N25" s="1494">
        <f>ROUNDDOWN(AD25,-6)/1000000</f>
        <v>41934</v>
      </c>
      <c r="O25" s="1500">
        <f>AE25</f>
        <v>10.804534895573092</v>
      </c>
      <c r="P25" s="1500">
        <f>AF25</f>
        <v>6.4364617023072945</v>
      </c>
      <c r="Q25" s="1486"/>
      <c r="S25" s="274" t="s">
        <v>38</v>
      </c>
      <c r="T25" s="276">
        <v>22473347083</v>
      </c>
      <c r="U25" s="276">
        <v>22895472104</v>
      </c>
      <c r="V25" s="276">
        <v>25132035086</v>
      </c>
      <c r="W25" s="276">
        <v>25848605248</v>
      </c>
      <c r="X25" s="276">
        <v>20764263577</v>
      </c>
      <c r="Y25" s="276">
        <v>4628466684</v>
      </c>
      <c r="Z25" s="276">
        <v>31187052384</v>
      </c>
      <c r="AA25" s="276">
        <v>30458187664</v>
      </c>
      <c r="AB25" s="275">
        <v>33262236293</v>
      </c>
      <c r="AC25" s="329">
        <v>37845523019</v>
      </c>
      <c r="AD25" s="330">
        <v>41934555760</v>
      </c>
      <c r="AE25" s="331">
        <f>IF(OR(AC25&lt;0,AD25&lt;0),"-",(AD25/AC25-1)*100)</f>
        <v>10.804534895573092</v>
      </c>
      <c r="AF25" s="332">
        <f>IF(OR(AND(AD25&gt;0,T25&lt;0),AND(AD25&lt;0,T25&gt;0),AND(AD25&lt;0,T25&lt;0)),"-",((AD25/T25)^(1/10)-1)*100)</f>
        <v>6.4364617023072945</v>
      </c>
      <c r="AG25" s="176"/>
      <c r="AH25" s="83">
        <f>Ⅰ_主要ﾃﾞｰﾀ!AG12</f>
        <v>41934555760</v>
      </c>
      <c r="AI25" s="83" t="str">
        <f>IF($AD25=$AH25,"OK","NG")</f>
        <v>OK</v>
      </c>
    </row>
    <row r="26" spans="1:35" ht="8.1" hidden="1" customHeight="1" outlineLevel="1">
      <c r="A26" s="1486"/>
      <c r="B26" s="1502" t="s">
        <v>1129</v>
      </c>
      <c r="C26" s="1487"/>
      <c r="D26" s="1486"/>
      <c r="E26" s="1486"/>
      <c r="F26" s="1486"/>
      <c r="G26" s="1486"/>
      <c r="H26" s="1487"/>
      <c r="I26" s="1486"/>
      <c r="J26" s="1486"/>
      <c r="K26" s="1487"/>
      <c r="L26" s="1486"/>
      <c r="M26" s="1486"/>
      <c r="N26" s="1486"/>
      <c r="O26" s="1486"/>
      <c r="P26" s="1486"/>
      <c r="Q26" s="1486"/>
    </row>
    <row r="27" spans="1:35" ht="8.1" hidden="1" customHeight="1" outlineLevel="1">
      <c r="A27" s="1486"/>
      <c r="B27" s="1503" t="s">
        <v>1130</v>
      </c>
      <c r="C27" s="1487"/>
      <c r="D27" s="1486"/>
      <c r="E27" s="1486"/>
      <c r="F27" s="1486"/>
      <c r="G27" s="1486"/>
      <c r="H27" s="1487"/>
      <c r="I27" s="1486"/>
      <c r="J27" s="1486"/>
      <c r="K27" s="1487"/>
      <c r="L27" s="1486"/>
      <c r="M27" s="1486"/>
      <c r="N27" s="1486"/>
      <c r="O27" s="1486"/>
      <c r="P27" s="1486"/>
      <c r="Q27" s="1486"/>
    </row>
    <row r="28" spans="1:35" ht="8.1" hidden="1" customHeight="1" outlineLevel="1">
      <c r="A28" s="1486"/>
      <c r="B28" s="656" t="s">
        <v>979</v>
      </c>
      <c r="C28" s="1487"/>
      <c r="D28" s="1486"/>
      <c r="E28" s="1486"/>
      <c r="F28" s="1486"/>
      <c r="G28" s="1486"/>
      <c r="H28" s="1487"/>
      <c r="I28" s="1486"/>
      <c r="J28" s="1486"/>
      <c r="K28" s="1487"/>
      <c r="L28" s="1486"/>
      <c r="M28" s="1486"/>
      <c r="N28" s="1486"/>
      <c r="O28" s="1486"/>
      <c r="P28" s="1486"/>
      <c r="Q28" s="1486"/>
      <c r="S28" s="83" t="s">
        <v>413</v>
      </c>
    </row>
    <row r="29" spans="1:35" ht="8.1" hidden="1" customHeight="1" outlineLevel="1">
      <c r="A29" s="1486"/>
      <c r="B29" s="656" t="s">
        <v>980</v>
      </c>
      <c r="C29" s="1487"/>
      <c r="D29" s="1486"/>
      <c r="E29" s="1486"/>
      <c r="F29" s="1486"/>
      <c r="G29" s="1486"/>
      <c r="H29" s="1487"/>
      <c r="I29" s="1486"/>
      <c r="J29" s="1486"/>
      <c r="K29" s="1487"/>
      <c r="L29" s="1486"/>
      <c r="M29" s="1486"/>
      <c r="N29" s="1486"/>
      <c r="O29" s="1486"/>
      <c r="P29" s="1486"/>
      <c r="Q29" s="1486"/>
    </row>
    <row r="30" spans="1:35" ht="15" customHeight="1" collapsed="1">
      <c r="A30" s="1486"/>
      <c r="B30" s="1491"/>
      <c r="C30" s="1487"/>
      <c r="D30" s="1486"/>
      <c r="E30" s="1486"/>
      <c r="F30" s="1486"/>
      <c r="G30" s="1486"/>
      <c r="H30" s="1487"/>
      <c r="I30" s="1486"/>
      <c r="J30" s="1486"/>
      <c r="K30" s="1487"/>
      <c r="L30" s="1486"/>
      <c r="M30" s="1486"/>
      <c r="N30" s="1486"/>
      <c r="O30" s="1486"/>
      <c r="P30" s="1486"/>
      <c r="Q30" s="1486"/>
    </row>
    <row r="31" spans="1:35" ht="15" customHeight="1">
      <c r="A31" s="1486"/>
      <c r="B31" s="1491"/>
      <c r="C31" s="1487"/>
      <c r="D31" s="1486"/>
      <c r="E31" s="1486"/>
      <c r="F31" s="1486"/>
      <c r="G31" s="1486"/>
      <c r="H31" s="1487"/>
      <c r="I31" s="1486"/>
      <c r="J31" s="1486"/>
      <c r="K31" s="1487"/>
      <c r="L31" s="1486"/>
      <c r="M31" s="1486"/>
      <c r="N31" s="1486"/>
      <c r="O31" s="1486"/>
      <c r="P31" s="1486"/>
      <c r="Q31" s="1486"/>
    </row>
    <row r="32" spans="1:35" ht="15" customHeight="1">
      <c r="A32" s="1486"/>
      <c r="B32" s="1486"/>
      <c r="C32" s="1487"/>
      <c r="D32" s="1486"/>
      <c r="E32" s="1486"/>
      <c r="F32" s="1486"/>
      <c r="G32" s="1486"/>
      <c r="H32" s="1487"/>
      <c r="I32" s="1486"/>
      <c r="J32" s="1486"/>
      <c r="K32" s="1487"/>
      <c r="L32" s="1486"/>
      <c r="M32" s="1486"/>
      <c r="N32" s="1486"/>
      <c r="O32" s="1486"/>
      <c r="P32" s="1486"/>
      <c r="Q32" s="1486"/>
    </row>
    <row r="33" spans="1:32" ht="17.25" customHeight="1">
      <c r="A33" s="1486"/>
      <c r="B33" s="1486"/>
      <c r="C33" s="1490"/>
      <c r="D33" s="1490"/>
      <c r="E33" s="1490"/>
      <c r="F33" s="1490"/>
      <c r="G33" s="1490"/>
      <c r="H33" s="1490"/>
      <c r="I33" s="1490"/>
      <c r="J33" s="1490"/>
      <c r="K33" s="1490"/>
      <c r="L33" s="1490"/>
      <c r="M33" s="1490"/>
      <c r="N33" s="1490"/>
      <c r="O33" s="1490"/>
      <c r="P33" s="1490"/>
      <c r="Q33" s="1486"/>
    </row>
    <row r="34" spans="1:32" ht="15" customHeight="1">
      <c r="A34" s="1486"/>
      <c r="B34" s="1491"/>
      <c r="C34" s="1487"/>
      <c r="D34" s="1486"/>
      <c r="E34" s="1486"/>
      <c r="F34" s="1486"/>
      <c r="G34" s="1486"/>
      <c r="H34" s="1487"/>
      <c r="I34" s="1486"/>
      <c r="J34" s="1486"/>
      <c r="K34" s="1487"/>
      <c r="L34" s="1486"/>
      <c r="M34" s="1486"/>
      <c r="N34" s="1486"/>
      <c r="O34" s="1486"/>
      <c r="P34" s="1486"/>
      <c r="Q34" s="1486"/>
    </row>
    <row r="35" spans="1:32" ht="15" customHeight="1">
      <c r="A35" s="1486"/>
      <c r="B35" s="1491"/>
      <c r="C35" s="1487"/>
      <c r="D35" s="1486"/>
      <c r="E35" s="1486"/>
      <c r="F35" s="1486"/>
      <c r="G35" s="1486"/>
      <c r="H35" s="1487"/>
      <c r="I35" s="1486"/>
      <c r="J35" s="1486"/>
      <c r="K35" s="1487"/>
      <c r="L35" s="1486"/>
      <c r="M35" s="1486"/>
      <c r="N35" s="1486"/>
      <c r="O35" s="1486"/>
      <c r="P35" s="1486"/>
      <c r="Q35" s="1486"/>
    </row>
    <row r="36" spans="1:32" ht="15" customHeight="1">
      <c r="A36" s="1486"/>
      <c r="B36" s="1486"/>
      <c r="C36" s="1487"/>
      <c r="D36" s="1486"/>
      <c r="E36" s="1486"/>
      <c r="F36" s="1486"/>
      <c r="G36" s="1486"/>
      <c r="H36" s="1487"/>
      <c r="I36" s="1486"/>
      <c r="J36" s="1486"/>
      <c r="K36" s="1487"/>
      <c r="L36" s="1486"/>
      <c r="M36" s="1486"/>
      <c r="N36" s="1486"/>
      <c r="O36" s="1486"/>
      <c r="P36" s="1486"/>
      <c r="Q36" s="1486"/>
    </row>
    <row r="37" spans="1:32" ht="15" customHeight="1" thickBot="1">
      <c r="A37" s="1486"/>
      <c r="B37" s="1486"/>
      <c r="C37" s="1487"/>
      <c r="D37" s="1486"/>
      <c r="E37" s="1486"/>
      <c r="F37" s="1486"/>
      <c r="G37" s="1486"/>
      <c r="H37" s="1487"/>
      <c r="I37" s="1486"/>
      <c r="J37" s="1486"/>
      <c r="K37" s="1487"/>
      <c r="L37" s="1486"/>
      <c r="M37" s="1486"/>
      <c r="N37" s="1486"/>
      <c r="O37" s="1486"/>
      <c r="P37" s="1486"/>
      <c r="Q37" s="1486"/>
      <c r="S37" s="273" t="s">
        <v>298</v>
      </c>
    </row>
    <row r="38" spans="1:32" ht="15" customHeight="1" thickBot="1">
      <c r="A38" s="1486"/>
      <c r="B38" s="1486"/>
      <c r="C38" s="1487"/>
      <c r="D38" s="1486"/>
      <c r="E38" s="1486"/>
      <c r="F38" s="1486"/>
      <c r="G38" s="1486"/>
      <c r="H38" s="1487"/>
      <c r="I38" s="1486"/>
      <c r="J38" s="1486"/>
      <c r="K38" s="1487"/>
      <c r="L38" s="1486"/>
      <c r="M38" s="1486"/>
      <c r="N38" s="1486"/>
      <c r="O38" s="1486"/>
      <c r="P38" s="1486"/>
      <c r="Q38" s="1486"/>
      <c r="S38" s="333" t="s">
        <v>318</v>
      </c>
      <c r="T38" s="334" t="str">
        <f>T5</f>
        <v>2016.3</v>
      </c>
      <c r="U38" s="334" t="str">
        <f>U5</f>
        <v>2017.3</v>
      </c>
      <c r="V38" s="334" t="str">
        <f t="shared" ref="V38:AD38" si="20">V5</f>
        <v>2018.3</v>
      </c>
      <c r="W38" s="334" t="str">
        <f t="shared" si="20"/>
        <v>2019.3</v>
      </c>
      <c r="X38" s="334" t="str">
        <f t="shared" si="20"/>
        <v>2020.3</v>
      </c>
      <c r="Y38" s="334" t="str">
        <f t="shared" si="20"/>
        <v>2021.3</v>
      </c>
      <c r="Z38" s="334" t="str">
        <f t="shared" si="20"/>
        <v>2022.3</v>
      </c>
      <c r="AA38" s="334" t="str">
        <f t="shared" si="20"/>
        <v>2023.3</v>
      </c>
      <c r="AB38" s="334" t="str">
        <f t="shared" si="20"/>
        <v>2024.3</v>
      </c>
      <c r="AC38" s="334" t="str">
        <f t="shared" si="20"/>
        <v>2025.3</v>
      </c>
      <c r="AD38" s="335" t="str">
        <f t="shared" si="20"/>
        <v>2026.3</v>
      </c>
      <c r="AE38" s="336" t="s">
        <v>154</v>
      </c>
      <c r="AF38" s="336" t="s">
        <v>154</v>
      </c>
    </row>
    <row r="39" spans="1:32" ht="15" customHeight="1" thickTop="1">
      <c r="A39" s="1486"/>
      <c r="B39" s="1486"/>
      <c r="C39" s="1487"/>
      <c r="D39" s="1486"/>
      <c r="E39" s="1486"/>
      <c r="F39" s="1486"/>
      <c r="G39" s="1486"/>
      <c r="H39" s="1487"/>
      <c r="I39" s="1486"/>
      <c r="J39" s="1486"/>
      <c r="K39" s="1487"/>
      <c r="L39" s="1486"/>
      <c r="M39" s="1486"/>
      <c r="N39" s="1486"/>
      <c r="O39" s="1486"/>
      <c r="P39" s="1486"/>
      <c r="Q39" s="1486"/>
      <c r="S39" s="337" t="s">
        <v>146</v>
      </c>
      <c r="T39" s="275">
        <f>ROUNDDOWN(T7,-6)/1000000</f>
        <v>68607</v>
      </c>
      <c r="U39" s="275">
        <f>ROUNDDOWN(U7,-6)/1000000</f>
        <v>67179</v>
      </c>
      <c r="V39" s="275">
        <f t="shared" ref="V39:AC39" si="21">ROUNDDOWN(V7,-6)/1000000</f>
        <v>75153</v>
      </c>
      <c r="W39" s="275">
        <f t="shared" si="21"/>
        <v>79908</v>
      </c>
      <c r="X39" s="275">
        <f t="shared" si="21"/>
        <v>78143</v>
      </c>
      <c r="Y39" s="275">
        <f t="shared" si="21"/>
        <v>74874</v>
      </c>
      <c r="Z39" s="275">
        <f t="shared" si="21"/>
        <v>81482</v>
      </c>
      <c r="AA39" s="275">
        <f t="shared" si="21"/>
        <v>88778</v>
      </c>
      <c r="AB39" s="275">
        <f t="shared" si="21"/>
        <v>97606</v>
      </c>
      <c r="AC39" s="275">
        <f t="shared" si="21"/>
        <v>104021</v>
      </c>
      <c r="AD39" s="278">
        <f>ROUNDDOWN(AD7,-6)/1000000</f>
        <v>113854</v>
      </c>
      <c r="AE39" s="338"/>
      <c r="AF39" s="339"/>
    </row>
    <row r="40" spans="1:32" ht="15" customHeight="1" thickBot="1">
      <c r="A40" s="1486"/>
      <c r="B40" s="1486"/>
      <c r="C40" s="1487"/>
      <c r="D40" s="1486"/>
      <c r="E40" s="1486"/>
      <c r="F40" s="1486"/>
      <c r="G40" s="1486"/>
      <c r="H40" s="1487"/>
      <c r="I40" s="1486"/>
      <c r="J40" s="1486"/>
      <c r="K40" s="1487"/>
      <c r="L40" s="1486"/>
      <c r="M40" s="1486"/>
      <c r="N40" s="1486"/>
      <c r="O40" s="1486"/>
      <c r="P40" s="1486"/>
      <c r="Q40" s="1486"/>
      <c r="S40" s="340" t="s">
        <v>28</v>
      </c>
      <c r="T40" s="288">
        <f>T14</f>
        <v>50.273820203878294</v>
      </c>
      <c r="U40" s="288">
        <f>U14</f>
        <v>48.224399887535647</v>
      </c>
      <c r="V40" s="288">
        <f t="shared" ref="V40:AD40" si="22">V14</f>
        <v>47.996869588733709</v>
      </c>
      <c r="W40" s="288">
        <f t="shared" si="22"/>
        <v>46.457356834276169</v>
      </c>
      <c r="X40" s="288">
        <f t="shared" si="22"/>
        <v>46.080888423132777</v>
      </c>
      <c r="Y40" s="288">
        <f t="shared" si="22"/>
        <v>48.383426929033632</v>
      </c>
      <c r="Z40" s="288">
        <f t="shared" si="22"/>
        <v>51.022591366013302</v>
      </c>
      <c r="AA40" s="288">
        <f t="shared" si="22"/>
        <v>49.311666594049228</v>
      </c>
      <c r="AB40" s="288">
        <f t="shared" si="22"/>
        <v>50.137915809437793</v>
      </c>
      <c r="AC40" s="289">
        <f t="shared" si="22"/>
        <v>52.110811956637448</v>
      </c>
      <c r="AD40" s="341">
        <f t="shared" si="22"/>
        <v>52.565302035887207</v>
      </c>
      <c r="AE40" s="342"/>
      <c r="AF40" s="343"/>
    </row>
    <row r="41" spans="1:32" ht="15" customHeight="1">
      <c r="A41" s="1486"/>
      <c r="B41" s="1486"/>
      <c r="C41" s="1487"/>
      <c r="D41" s="1486"/>
      <c r="E41" s="1486"/>
      <c r="F41" s="1486"/>
      <c r="G41" s="1486"/>
      <c r="H41" s="1487"/>
      <c r="I41" s="1486"/>
      <c r="J41" s="1486"/>
      <c r="K41" s="1487"/>
      <c r="L41" s="1486"/>
      <c r="M41" s="1486"/>
      <c r="N41" s="1486"/>
      <c r="O41" s="1486"/>
      <c r="P41" s="1486"/>
      <c r="Q41" s="1486"/>
    </row>
    <row r="42" spans="1:32" ht="10.5" customHeight="1">
      <c r="A42" s="1486"/>
      <c r="B42" s="1486"/>
      <c r="C42" s="1487"/>
      <c r="D42" s="1486"/>
      <c r="E42" s="1486"/>
      <c r="F42" s="1486"/>
      <c r="G42" s="1486"/>
      <c r="H42" s="1487"/>
      <c r="I42" s="1486"/>
      <c r="J42" s="1486"/>
      <c r="K42" s="1487"/>
      <c r="L42" s="1486"/>
      <c r="M42" s="1486"/>
      <c r="N42" s="1486"/>
      <c r="O42" s="1486"/>
      <c r="P42" s="1486"/>
      <c r="Q42" s="1486"/>
      <c r="S42" s="83" t="s">
        <v>240</v>
      </c>
    </row>
    <row r="43" spans="1:32" ht="15" customHeight="1">
      <c r="A43" s="1486"/>
      <c r="B43" s="1486"/>
      <c r="C43" s="1487"/>
      <c r="D43" s="1486"/>
      <c r="E43" s="1486"/>
      <c r="F43" s="1486"/>
      <c r="G43" s="1486"/>
      <c r="H43" s="1487"/>
      <c r="I43" s="1486"/>
      <c r="J43" s="1486"/>
      <c r="K43" s="1487"/>
      <c r="L43" s="1486"/>
      <c r="M43" s="1486"/>
      <c r="N43" s="1486"/>
      <c r="O43" s="1486"/>
      <c r="P43" s="1486"/>
      <c r="Q43" s="1486"/>
      <c r="S43" s="83" t="s">
        <v>397</v>
      </c>
    </row>
    <row r="44" spans="1:32" ht="15" customHeight="1">
      <c r="A44" s="1486"/>
      <c r="B44" s="1486"/>
      <c r="C44" s="1487"/>
      <c r="D44" s="1486"/>
      <c r="E44" s="1486"/>
      <c r="F44" s="1486"/>
      <c r="G44" s="1486"/>
      <c r="H44" s="1487"/>
      <c r="I44" s="1486"/>
      <c r="J44" s="1486"/>
      <c r="K44" s="1487"/>
      <c r="L44" s="1486"/>
      <c r="M44" s="1486"/>
      <c r="N44" s="1486"/>
      <c r="O44" s="1486"/>
      <c r="P44" s="1486"/>
      <c r="Q44" s="1486"/>
      <c r="S44" s="83" t="s">
        <v>398</v>
      </c>
    </row>
    <row r="45" spans="1:32" ht="18.75" customHeight="1">
      <c r="A45" s="1486"/>
      <c r="B45" s="1486"/>
      <c r="C45" s="1487"/>
      <c r="D45" s="1486"/>
      <c r="E45" s="1486"/>
      <c r="F45" s="1486"/>
      <c r="G45" s="1486"/>
      <c r="H45" s="1487"/>
      <c r="I45" s="1486"/>
      <c r="J45" s="1486"/>
      <c r="K45" s="1487"/>
      <c r="L45" s="1486"/>
      <c r="M45" s="1486"/>
      <c r="N45" s="1486"/>
      <c r="O45" s="1486"/>
      <c r="P45" s="1486"/>
      <c r="Q45" s="1486"/>
      <c r="S45" s="83" t="s">
        <v>399</v>
      </c>
    </row>
  </sheetData>
  <sheetProtection algorithmName="SHA-512" hashValue="EoLhGKkwhlEtFj/tFDvg1ULkVCzNzO6AjIQS1sesz8ymj60xYA5dN9DeXrrqtfpZWxghSfrSV5I2LXBORBUOSQ==" saltValue="r+zZ0of8LIeGrNST0yax/w==" spinCount="100000" sheet="1" objects="1" scenarios="1"/>
  <customSheetViews>
    <customSheetView guid="{06451E13-97D0-44F4-875B-E8D80B2F1CF1}" scale="85" showPageBreaks="1" fitToPage="1" printArea="1" hiddenRows="1" view="pageBreakPreview" topLeftCell="R10">
      <selection activeCell="AA7" sqref="AA7:AB7"/>
      <pageMargins left="0" right="0" top="0" bottom="0" header="0" footer="0"/>
      <printOptions horizontalCentered="1" verticalCentered="1"/>
      <pageSetup paperSize="9" scale="79" orientation="landscape" r:id="rId1"/>
      <headerFooter scaleWithDoc="0" alignWithMargins="0">
        <oddFooter>&amp;C&amp;"Arial,標準"&amp;12 19</oddFooter>
      </headerFooter>
    </customSheetView>
  </customSheetViews>
  <mergeCells count="33">
    <mergeCell ref="J5:J6"/>
    <mergeCell ref="I5:I6"/>
    <mergeCell ref="H5:H6"/>
    <mergeCell ref="B5:B6"/>
    <mergeCell ref="D5:D6"/>
    <mergeCell ref="C5:C6"/>
    <mergeCell ref="G5:G6"/>
    <mergeCell ref="E5:E6"/>
    <mergeCell ref="F5:F6"/>
    <mergeCell ref="N5:N6"/>
    <mergeCell ref="M5:M6"/>
    <mergeCell ref="L5:L6"/>
    <mergeCell ref="K5:K6"/>
    <mergeCell ref="S5:S6"/>
    <mergeCell ref="B7:C7"/>
    <mergeCell ref="B8:C8"/>
    <mergeCell ref="B9:C9"/>
    <mergeCell ref="B10:C10"/>
    <mergeCell ref="B11:C11"/>
    <mergeCell ref="B12:C12"/>
    <mergeCell ref="B13:C13"/>
    <mergeCell ref="B14:C14"/>
    <mergeCell ref="B15:C15"/>
    <mergeCell ref="B16:C16"/>
    <mergeCell ref="B22:C22"/>
    <mergeCell ref="B23:C23"/>
    <mergeCell ref="B24:C24"/>
    <mergeCell ref="B25:C25"/>
    <mergeCell ref="B17:C17"/>
    <mergeCell ref="B18:C18"/>
    <mergeCell ref="B19:C19"/>
    <mergeCell ref="B20:C20"/>
    <mergeCell ref="B21:C21"/>
  </mergeCells>
  <phoneticPr fontId="18"/>
  <conditionalFormatting sqref="Q24:R25">
    <cfRule type="cellIs" dxfId="38" priority="4" stopIfTrue="1" operator="notEqual">
      <formula>#REF!+#REF!+#REF!+#REF!+#REF!+#REF!</formula>
    </cfRule>
  </conditionalFormatting>
  <conditionalFormatting sqref="Q16:R16">
    <cfRule type="cellIs" dxfId="37" priority="3" stopIfTrue="1" operator="notEqual">
      <formula>#REF!+#REF!+#REF!+#REF!</formula>
    </cfRule>
  </conditionalFormatting>
  <printOptions horizontalCentered="1" verticalCentered="1"/>
  <pageMargins left="0" right="0" top="0" bottom="0" header="0" footer="0"/>
  <pageSetup paperSize="9" scale="82" orientation="landscape" r:id="rId2"/>
  <headerFooter scaleWithDoc="0" alignWithMargins="0">
    <oddFooter>&amp;C&amp;"Arial,標準"&amp;12 19</oddFooter>
  </headerFooter>
  <drawing r:id="rId3"/>
  <legacyDrawing r:id="rId4"/>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A1:AU83"/>
  <sheetViews>
    <sheetView view="pageBreakPreview" zoomScale="55" zoomScaleNormal="70" zoomScaleSheetLayoutView="55" workbookViewId="0">
      <selection activeCell="W1" sqref="W1:BL1048576"/>
    </sheetView>
  </sheetViews>
  <sheetFormatPr defaultColWidth="9.140625" defaultRowHeight="15" customHeight="1" outlineLevelRow="2" outlineLevelCol="1"/>
  <cols>
    <col min="1" max="1" width="15" style="83" customWidth="1"/>
    <col min="2" max="2" width="12.140625" style="83" customWidth="1"/>
    <col min="3" max="4" width="3.5703125" style="83" customWidth="1"/>
    <col min="5" max="5" width="28.85546875" style="84" customWidth="1"/>
    <col min="6" max="7" width="3.5703125" style="83" hidden="1" customWidth="1" outlineLevel="1"/>
    <col min="8" max="8" width="48.7109375" style="84" customWidth="1" collapsed="1"/>
    <col min="9" max="10" width="11.7109375" style="84" customWidth="1"/>
    <col min="11" max="21" width="11.7109375" style="83" customWidth="1"/>
    <col min="22" max="22" width="16" style="83" customWidth="1"/>
    <col min="23" max="23" width="2.85546875" style="83" hidden="1" customWidth="1"/>
    <col min="24" max="25" width="9.85546875" style="83" hidden="1" customWidth="1"/>
    <col min="26" max="26" width="10.85546875" style="83" hidden="1" customWidth="1"/>
    <col min="27" max="28" width="3.5703125" style="83" hidden="1" customWidth="1"/>
    <col min="29" max="29" width="25.5703125" style="84" hidden="1" customWidth="1"/>
    <col min="30" max="38" width="19.5703125" style="83" hidden="1" customWidth="1" outlineLevel="1"/>
    <col min="39" max="39" width="19.5703125" style="83" hidden="1" customWidth="1" collapsed="1"/>
    <col min="40" max="40" width="19.5703125" style="83" hidden="1" customWidth="1"/>
    <col min="41" max="41" width="11.42578125" style="83" hidden="1" customWidth="1"/>
    <col min="42" max="42" width="13.5703125" style="83" hidden="1" customWidth="1"/>
    <col min="43" max="43" width="2.85546875" style="83" hidden="1" customWidth="1"/>
    <col min="44" max="44" width="17" style="83" hidden="1" customWidth="1"/>
    <col min="45" max="45" width="13" style="83" hidden="1" customWidth="1"/>
    <col min="46" max="64" width="0" style="83" hidden="1" customWidth="1"/>
    <col min="65" max="16384" width="9.140625" style="83"/>
  </cols>
  <sheetData>
    <row r="1" spans="1:45" ht="75.75" customHeight="1">
      <c r="A1" s="1486"/>
      <c r="B1" s="1486"/>
      <c r="C1" s="1486"/>
      <c r="D1" s="1486"/>
      <c r="E1" s="1487"/>
      <c r="F1" s="1486"/>
      <c r="G1" s="1486"/>
      <c r="H1" s="1487"/>
      <c r="I1" s="1487"/>
      <c r="J1" s="1487"/>
      <c r="K1" s="1486"/>
      <c r="L1" s="1486"/>
      <c r="M1" s="1486"/>
      <c r="N1" s="1486"/>
      <c r="O1" s="1486"/>
      <c r="P1" s="1486"/>
      <c r="Q1" s="1486"/>
      <c r="R1" s="1486"/>
      <c r="S1" s="1486"/>
      <c r="T1" s="1486"/>
      <c r="U1" s="1486"/>
      <c r="V1" s="1486"/>
    </row>
    <row r="2" spans="1:45" ht="20.100000000000001" customHeight="1">
      <c r="A2" s="671"/>
      <c r="B2" s="1488"/>
      <c r="C2" s="1486"/>
      <c r="D2" s="1486"/>
      <c r="E2" s="1487"/>
      <c r="F2" s="1486"/>
      <c r="G2" s="1486"/>
      <c r="H2" s="1487"/>
      <c r="I2" s="1487"/>
      <c r="J2" s="1487"/>
      <c r="K2" s="1486"/>
      <c r="L2" s="1486"/>
      <c r="M2" s="1486"/>
      <c r="N2" s="1486"/>
      <c r="O2" s="1486"/>
      <c r="P2" s="1486"/>
      <c r="Q2" s="1486"/>
      <c r="R2" s="1486"/>
      <c r="S2" s="1486"/>
      <c r="T2" s="1486"/>
      <c r="U2" s="1486"/>
      <c r="V2" s="1486"/>
      <c r="Z2" s="85"/>
    </row>
    <row r="3" spans="1:45" ht="12" customHeight="1">
      <c r="A3" s="1486"/>
      <c r="B3" s="1486"/>
      <c r="C3" s="1486"/>
      <c r="D3" s="1486"/>
      <c r="E3" s="1486"/>
      <c r="F3" s="1486"/>
      <c r="G3" s="1486"/>
      <c r="H3" s="1486"/>
      <c r="I3" s="1486"/>
      <c r="J3" s="1486"/>
      <c r="K3" s="1486"/>
      <c r="L3" s="1486"/>
      <c r="M3" s="1486"/>
      <c r="N3" s="1486"/>
      <c r="O3" s="1486"/>
      <c r="P3" s="1486"/>
      <c r="Q3" s="1486"/>
      <c r="R3" s="1486"/>
      <c r="S3" s="1486"/>
      <c r="T3" s="1486"/>
      <c r="U3" s="1486"/>
      <c r="V3" s="1486"/>
      <c r="AC3" s="2052" t="s">
        <v>1531</v>
      </c>
      <c r="AM3" s="2128" t="s">
        <v>1694</v>
      </c>
    </row>
    <row r="4" spans="1:45" ht="42" customHeight="1" thickBot="1">
      <c r="A4" s="1486"/>
      <c r="B4" s="1486"/>
      <c r="C4" s="1486"/>
      <c r="D4" s="1486"/>
      <c r="E4" s="1489"/>
      <c r="F4" s="1486"/>
      <c r="G4" s="1486"/>
      <c r="H4" s="1489"/>
      <c r="I4" s="1489"/>
      <c r="J4" s="1489"/>
      <c r="K4" s="1486"/>
      <c r="L4" s="1486"/>
      <c r="M4" s="1486"/>
      <c r="N4" s="1486"/>
      <c r="O4" s="1486"/>
      <c r="P4" s="1486"/>
      <c r="Q4" s="1486"/>
      <c r="R4" s="1486"/>
      <c r="S4" s="1486"/>
      <c r="T4" s="674"/>
      <c r="U4" s="767" t="s">
        <v>1683</v>
      </c>
      <c r="V4" s="674"/>
      <c r="AC4" s="2051" t="s">
        <v>1530</v>
      </c>
    </row>
    <row r="5" spans="1:45" ht="24" customHeight="1">
      <c r="A5" s="1486"/>
      <c r="B5" s="2592"/>
      <c r="C5" s="2592"/>
      <c r="D5" s="2592"/>
      <c r="E5" s="2592"/>
      <c r="F5" s="2273"/>
      <c r="G5" s="2273"/>
      <c r="H5" s="2273"/>
      <c r="I5" s="2453" t="str">
        <f>AD5</f>
        <v>2016.3</v>
      </c>
      <c r="J5" s="2206" t="str">
        <f t="shared" ref="J5:S5" si="0">AE5</f>
        <v>2017.3</v>
      </c>
      <c r="K5" s="2206" t="str">
        <f t="shared" si="0"/>
        <v>2018.3</v>
      </c>
      <c r="L5" s="2206" t="str">
        <f t="shared" si="0"/>
        <v>2019.3</v>
      </c>
      <c r="M5" s="2206" t="str">
        <f t="shared" si="0"/>
        <v>2020.3</v>
      </c>
      <c r="N5" s="2206" t="str">
        <f t="shared" si="0"/>
        <v>2021.3</v>
      </c>
      <c r="O5" s="2206" t="str">
        <f t="shared" si="0"/>
        <v>2022.3</v>
      </c>
      <c r="P5" s="2206" t="str">
        <f t="shared" si="0"/>
        <v>2023.3</v>
      </c>
      <c r="Q5" s="2206" t="str">
        <f t="shared" si="0"/>
        <v>2024.3</v>
      </c>
      <c r="R5" s="2206" t="str">
        <f t="shared" si="0"/>
        <v>2025.3</v>
      </c>
      <c r="S5" s="2306" t="str">
        <f t="shared" si="0"/>
        <v>2026.3</v>
      </c>
      <c r="T5" s="912" t="s">
        <v>638</v>
      </c>
      <c r="U5" s="913" t="s">
        <v>558</v>
      </c>
      <c r="V5" s="1504"/>
      <c r="W5" s="391"/>
      <c r="X5" s="86"/>
      <c r="Y5" s="86"/>
      <c r="Z5" s="2594" t="s">
        <v>195</v>
      </c>
      <c r="AA5" s="2595"/>
      <c r="AB5" s="2595"/>
      <c r="AC5" s="2596"/>
      <c r="AD5" s="151" t="s">
        <v>260</v>
      </c>
      <c r="AE5" s="151" t="s">
        <v>261</v>
      </c>
      <c r="AF5" s="151" t="s">
        <v>377</v>
      </c>
      <c r="AG5" s="151" t="s">
        <v>396</v>
      </c>
      <c r="AH5" s="151" t="s">
        <v>422</v>
      </c>
      <c r="AI5" s="151" t="s">
        <v>447</v>
      </c>
      <c r="AJ5" s="151" t="s">
        <v>1089</v>
      </c>
      <c r="AK5" s="180" t="s">
        <v>1430</v>
      </c>
      <c r="AL5" s="150" t="s">
        <v>1506</v>
      </c>
      <c r="AM5" s="165" t="s">
        <v>1626</v>
      </c>
      <c r="AN5" s="175" t="s">
        <v>1644</v>
      </c>
      <c r="AO5" s="143" t="s">
        <v>155</v>
      </c>
      <c r="AP5" s="143" t="s">
        <v>83</v>
      </c>
    </row>
    <row r="6" spans="1:45" ht="17.25" customHeight="1" thickBot="1">
      <c r="A6" s="1486"/>
      <c r="B6" s="2593"/>
      <c r="C6" s="2593"/>
      <c r="D6" s="2593"/>
      <c r="E6" s="2593"/>
      <c r="F6" s="2506"/>
      <c r="G6" s="2506"/>
      <c r="H6" s="2506"/>
      <c r="I6" s="2207"/>
      <c r="J6" s="2207"/>
      <c r="K6" s="2207"/>
      <c r="L6" s="2207"/>
      <c r="M6" s="2207"/>
      <c r="N6" s="2207"/>
      <c r="O6" s="2207"/>
      <c r="P6" s="2207"/>
      <c r="Q6" s="2207"/>
      <c r="R6" s="2207"/>
      <c r="S6" s="2450"/>
      <c r="T6" s="646" t="s">
        <v>511</v>
      </c>
      <c r="U6" s="647" t="s">
        <v>509</v>
      </c>
      <c r="V6" s="1505"/>
      <c r="W6" s="391"/>
      <c r="X6" s="86"/>
      <c r="Y6" s="86"/>
      <c r="Z6" s="2597"/>
      <c r="AA6" s="2598"/>
      <c r="AB6" s="2598"/>
      <c r="AC6" s="2599"/>
      <c r="AD6" s="154"/>
      <c r="AE6" s="154"/>
      <c r="AF6" s="154"/>
      <c r="AG6" s="154"/>
      <c r="AH6" s="154"/>
      <c r="AI6" s="154"/>
      <c r="AJ6" s="154"/>
      <c r="AK6" s="181"/>
      <c r="AL6" s="153"/>
      <c r="AM6" s="177"/>
      <c r="AN6" s="178"/>
      <c r="AO6" s="72" t="s">
        <v>373</v>
      </c>
      <c r="AP6" s="73" t="s">
        <v>14</v>
      </c>
    </row>
    <row r="7" spans="1:45" ht="14.85" customHeight="1" thickTop="1">
      <c r="A7" s="1486"/>
      <c r="B7" s="1588" t="s">
        <v>1028</v>
      </c>
      <c r="C7" s="1547" t="s">
        <v>987</v>
      </c>
      <c r="D7" s="1486"/>
      <c r="E7" s="1489"/>
      <c r="F7" s="1489"/>
      <c r="G7" s="1486"/>
      <c r="H7" s="1489"/>
      <c r="I7" s="1590">
        <f>IF(AD7=0,"-",ROUNDDOWN(AD7,-6)/1000000)</f>
        <v>81440</v>
      </c>
      <c r="J7" s="1590">
        <f t="shared" ref="J7:S9" si="1">IF(AE7=0,"-",ROUNDDOWN(AE7,-6)/1000000)</f>
        <v>91462</v>
      </c>
      <c r="K7" s="1590">
        <f t="shared" si="1"/>
        <v>62777</v>
      </c>
      <c r="L7" s="1590">
        <f t="shared" si="1"/>
        <v>77431</v>
      </c>
      <c r="M7" s="1590">
        <f t="shared" si="1"/>
        <v>68096</v>
      </c>
      <c r="N7" s="1590">
        <f t="shared" si="1"/>
        <v>81528</v>
      </c>
      <c r="O7" s="1590">
        <f t="shared" si="1"/>
        <v>103872</v>
      </c>
      <c r="P7" s="1590">
        <f t="shared" si="1"/>
        <v>116057</v>
      </c>
      <c r="Q7" s="1590">
        <f t="shared" si="1"/>
        <v>148371</v>
      </c>
      <c r="R7" s="1590">
        <f t="shared" si="1"/>
        <v>144641</v>
      </c>
      <c r="S7" s="1590">
        <f t="shared" si="1"/>
        <v>141741</v>
      </c>
      <c r="T7" s="1591">
        <f>AO7</f>
        <v>-2.0048995706420603</v>
      </c>
      <c r="U7" s="1591">
        <f>AP7</f>
        <v>5.6977156438400511</v>
      </c>
      <c r="V7" s="1508"/>
      <c r="Z7" s="347" t="s">
        <v>191</v>
      </c>
      <c r="AA7" s="280" t="s">
        <v>331</v>
      </c>
      <c r="AB7" s="345"/>
      <c r="AC7" s="348"/>
      <c r="AD7" s="350">
        <v>81440645996</v>
      </c>
      <c r="AE7" s="350">
        <v>91462752974</v>
      </c>
      <c r="AF7" s="350">
        <v>62777821395</v>
      </c>
      <c r="AG7" s="350">
        <v>77431399511</v>
      </c>
      <c r="AH7" s="350">
        <v>68096608596</v>
      </c>
      <c r="AI7" s="350">
        <v>81528297101</v>
      </c>
      <c r="AJ7" s="351">
        <v>103872309090</v>
      </c>
      <c r="AK7" s="351">
        <v>116057538393</v>
      </c>
      <c r="AL7" s="352">
        <v>148371051032</v>
      </c>
      <c r="AM7" s="1994">
        <v>144641481422</v>
      </c>
      <c r="AN7" s="1995">
        <v>141741564982</v>
      </c>
      <c r="AO7" s="287">
        <f>IF(OR(AM7&lt;0,AN7&lt;0),"-",(AN7/AM7-1)*100)</f>
        <v>-2.0048995706420603</v>
      </c>
      <c r="AP7" s="127">
        <f>IF(ISERROR(((AN7/AD7)^(1/10)-1)*100),"-",((AN7/AD7)^(1/10)-1)*100)</f>
        <v>5.6977156438400511</v>
      </c>
      <c r="AQ7" s="98"/>
      <c r="AR7" s="83">
        <f>AN7-AM7</f>
        <v>-2899916440</v>
      </c>
      <c r="AS7" s="353">
        <f t="shared" ref="AS7:AS38" si="2">AN7/AM7</f>
        <v>0.9799510042935794</v>
      </c>
    </row>
    <row r="8" spans="1:45" ht="14.85" customHeight="1">
      <c r="A8" s="1486"/>
      <c r="B8" s="1589" t="s">
        <v>63</v>
      </c>
      <c r="C8" s="1547"/>
      <c r="D8" s="1548"/>
      <c r="E8" s="1549" t="s">
        <v>988</v>
      </c>
      <c r="F8" s="1550"/>
      <c r="G8" s="1550"/>
      <c r="H8" s="1551"/>
      <c r="I8" s="1592">
        <f>IF(AD8=0,"-",ROUNDDOWN(AD8,-6)/1000000)</f>
        <v>62290</v>
      </c>
      <c r="J8" s="1592">
        <f t="shared" si="1"/>
        <v>74778</v>
      </c>
      <c r="K8" s="1592">
        <f t="shared" si="1"/>
        <v>39622</v>
      </c>
      <c r="L8" s="1592">
        <f t="shared" si="1"/>
        <v>51352</v>
      </c>
      <c r="M8" s="1592">
        <f t="shared" si="1"/>
        <v>50729</v>
      </c>
      <c r="N8" s="1592">
        <f t="shared" si="1"/>
        <v>67770</v>
      </c>
      <c r="O8" s="1592">
        <f t="shared" si="1"/>
        <v>79380</v>
      </c>
      <c r="P8" s="1592">
        <f t="shared" si="1"/>
        <v>92692</v>
      </c>
      <c r="Q8" s="1592">
        <f t="shared" si="1"/>
        <v>109009</v>
      </c>
      <c r="R8" s="1592">
        <f t="shared" si="1"/>
        <v>113219</v>
      </c>
      <c r="S8" s="1592">
        <f t="shared" si="1"/>
        <v>110433</v>
      </c>
      <c r="T8" s="1593"/>
      <c r="U8" s="1593"/>
      <c r="V8" s="1508"/>
      <c r="X8" s="99">
        <f t="shared" ref="X8:X13" si="3">S8/R8</f>
        <v>0.97539282275943084</v>
      </c>
      <c r="Z8" s="280" t="s">
        <v>63</v>
      </c>
      <c r="AA8" s="280"/>
      <c r="AB8" s="280"/>
      <c r="AC8" s="4" t="s">
        <v>30</v>
      </c>
      <c r="AD8" s="281">
        <v>62290861027</v>
      </c>
      <c r="AE8" s="281">
        <v>74778781410</v>
      </c>
      <c r="AF8" s="281">
        <v>39622956589</v>
      </c>
      <c r="AG8" s="281">
        <v>51352424953</v>
      </c>
      <c r="AH8" s="281">
        <v>50729093070</v>
      </c>
      <c r="AI8" s="281">
        <v>67770597790</v>
      </c>
      <c r="AJ8" s="354">
        <v>79380738641</v>
      </c>
      <c r="AK8" s="354">
        <v>92692215171</v>
      </c>
      <c r="AL8" s="344">
        <v>109009457128</v>
      </c>
      <c r="AM8" s="355">
        <v>113219682359</v>
      </c>
      <c r="AN8" s="356">
        <v>110433522495</v>
      </c>
      <c r="AO8" s="296"/>
      <c r="AP8" s="105"/>
      <c r="AQ8" s="98"/>
      <c r="AR8" s="83">
        <f>AN8-AM8</f>
        <v>-2786159864</v>
      </c>
      <c r="AS8" s="353">
        <f t="shared" si="2"/>
        <v>0.97539155908276121</v>
      </c>
    </row>
    <row r="9" spans="1:45" ht="14.85" customHeight="1">
      <c r="A9" s="1486"/>
      <c r="B9" s="1589"/>
      <c r="C9" s="1547"/>
      <c r="D9" s="1552"/>
      <c r="E9" s="1553" t="s">
        <v>989</v>
      </c>
      <c r="F9" s="1554"/>
      <c r="G9" s="1554"/>
      <c r="H9" s="1555"/>
      <c r="I9" s="1594">
        <f>IF(AD9=0,"-",ROUNDDOWN(AD9,-6)/1000000)</f>
        <v>10612</v>
      </c>
      <c r="J9" s="1594">
        <f t="shared" si="1"/>
        <v>11668</v>
      </c>
      <c r="K9" s="1594">
        <f t="shared" si="1"/>
        <v>18846</v>
      </c>
      <c r="L9" s="1594">
        <f t="shared" si="1"/>
        <v>16502</v>
      </c>
      <c r="M9" s="1594">
        <f t="shared" si="1"/>
        <v>5603</v>
      </c>
      <c r="N9" s="1594">
        <f t="shared" si="1"/>
        <v>6596</v>
      </c>
      <c r="O9" s="1594">
        <f t="shared" si="1"/>
        <v>14572</v>
      </c>
      <c r="P9" s="1594">
        <f t="shared" si="1"/>
        <v>13314</v>
      </c>
      <c r="Q9" s="1594">
        <f t="shared" si="1"/>
        <v>24519</v>
      </c>
      <c r="R9" s="1594">
        <f t="shared" si="1"/>
        <v>13767</v>
      </c>
      <c r="S9" s="1594">
        <f t="shared" si="1"/>
        <v>13433</v>
      </c>
      <c r="T9" s="1595"/>
      <c r="U9" s="1595"/>
      <c r="V9" s="1508"/>
      <c r="X9" s="99">
        <f t="shared" si="3"/>
        <v>0.97573908622067262</v>
      </c>
      <c r="Z9" s="280"/>
      <c r="AA9" s="280"/>
      <c r="AB9" s="280"/>
      <c r="AC9" s="4" t="s">
        <v>153</v>
      </c>
      <c r="AD9" s="281">
        <v>10612453330</v>
      </c>
      <c r="AE9" s="281">
        <v>11668346098</v>
      </c>
      <c r="AF9" s="281">
        <v>18846510903</v>
      </c>
      <c r="AG9" s="281">
        <v>16502023917</v>
      </c>
      <c r="AH9" s="281">
        <v>5603165937</v>
      </c>
      <c r="AI9" s="281">
        <v>6596978784</v>
      </c>
      <c r="AJ9" s="354">
        <v>14572986715</v>
      </c>
      <c r="AK9" s="354">
        <v>13314498324</v>
      </c>
      <c r="AL9" s="344">
        <v>24519043829</v>
      </c>
      <c r="AM9" s="355">
        <v>13767748923</v>
      </c>
      <c r="AN9" s="356">
        <v>13433325608</v>
      </c>
      <c r="AO9" s="357"/>
      <c r="AP9" s="358"/>
      <c r="AQ9" s="98"/>
      <c r="AR9" s="83">
        <f t="shared" ref="AR9:AR38" si="4">AN9-AM9</f>
        <v>-334423315</v>
      </c>
      <c r="AS9" s="353">
        <f t="shared" si="2"/>
        <v>0.97570965908295126</v>
      </c>
    </row>
    <row r="10" spans="1:45" ht="14.85" customHeight="1">
      <c r="A10" s="1486"/>
      <c r="B10" s="1589"/>
      <c r="C10" s="1547"/>
      <c r="D10" s="1552"/>
      <c r="E10" s="1626" t="s">
        <v>990</v>
      </c>
      <c r="F10" s="1486"/>
      <c r="G10" s="1486"/>
      <c r="H10" s="1556"/>
      <c r="I10" s="1596">
        <f t="shared" ref="I10:S11" si="5">IF(AD10=0,"-",ROUNDDOWN(AD10,-6)/1000000)</f>
        <v>2610</v>
      </c>
      <c r="J10" s="1596">
        <f t="shared" si="5"/>
        <v>2605</v>
      </c>
      <c r="K10" s="1596">
        <f t="shared" si="5"/>
        <v>2720</v>
      </c>
      <c r="L10" s="1596">
        <f t="shared" si="5"/>
        <v>3154</v>
      </c>
      <c r="M10" s="1596">
        <f t="shared" si="5"/>
        <v>2894</v>
      </c>
      <c r="N10" s="1596">
        <f t="shared" si="5"/>
        <v>2215</v>
      </c>
      <c r="O10" s="1596">
        <f t="shared" si="5"/>
        <v>2425</v>
      </c>
      <c r="P10" s="1596">
        <f t="shared" si="5"/>
        <v>2982</v>
      </c>
      <c r="Q10" s="1596">
        <f t="shared" si="5"/>
        <v>2710</v>
      </c>
      <c r="R10" s="1596">
        <f t="shared" si="5"/>
        <v>2419</v>
      </c>
      <c r="S10" s="1596">
        <f t="shared" si="5"/>
        <v>3700</v>
      </c>
      <c r="T10" s="1597"/>
      <c r="U10" s="1597"/>
      <c r="V10" s="1508"/>
      <c r="X10" s="99">
        <f t="shared" si="3"/>
        <v>1.5295576684580405</v>
      </c>
      <c r="Z10" s="280"/>
      <c r="AA10" s="280"/>
      <c r="AB10" s="280"/>
      <c r="AC10" s="4" t="s">
        <v>1649</v>
      </c>
      <c r="AD10" s="281">
        <v>2610092433</v>
      </c>
      <c r="AE10" s="281">
        <v>2605384671</v>
      </c>
      <c r="AF10" s="281">
        <v>2720187705</v>
      </c>
      <c r="AG10" s="281">
        <v>3154007094</v>
      </c>
      <c r="AH10" s="281">
        <v>2894970915</v>
      </c>
      <c r="AI10" s="281">
        <v>2215626272</v>
      </c>
      <c r="AJ10" s="354">
        <v>2425489837</v>
      </c>
      <c r="AK10" s="354">
        <v>2982524567</v>
      </c>
      <c r="AL10" s="344">
        <v>2710742915</v>
      </c>
      <c r="AM10" s="355">
        <v>2419402675</v>
      </c>
      <c r="AN10" s="356">
        <v>3700067773</v>
      </c>
      <c r="AO10" s="357"/>
      <c r="AP10" s="358"/>
      <c r="AQ10" s="98"/>
      <c r="AR10" s="83">
        <f t="shared" si="4"/>
        <v>1280665098</v>
      </c>
      <c r="AS10" s="353">
        <f t="shared" si="2"/>
        <v>1.5293311077288942</v>
      </c>
    </row>
    <row r="11" spans="1:45" ht="14.85" customHeight="1">
      <c r="A11" s="1486"/>
      <c r="B11" s="1589"/>
      <c r="C11" s="1547"/>
      <c r="D11" s="1552"/>
      <c r="E11" s="1553" t="s">
        <v>991</v>
      </c>
      <c r="F11" s="1554"/>
      <c r="G11" s="1554"/>
      <c r="H11" s="1555"/>
      <c r="I11" s="1594">
        <f t="shared" si="5"/>
        <v>570</v>
      </c>
      <c r="J11" s="1594">
        <f t="shared" si="5"/>
        <v>919</v>
      </c>
      <c r="K11" s="1594" t="str">
        <f t="shared" si="5"/>
        <v>-</v>
      </c>
      <c r="L11" s="1594" t="str">
        <f t="shared" si="5"/>
        <v>-</v>
      </c>
      <c r="M11" s="1594" t="str">
        <f t="shared" si="5"/>
        <v>-</v>
      </c>
      <c r="N11" s="1594" t="str">
        <f t="shared" si="5"/>
        <v>-</v>
      </c>
      <c r="O11" s="1594" t="str">
        <f t="shared" si="5"/>
        <v>-</v>
      </c>
      <c r="P11" s="1594" t="str">
        <f t="shared" si="5"/>
        <v>-</v>
      </c>
      <c r="Q11" s="1594" t="str">
        <f t="shared" si="5"/>
        <v>-</v>
      </c>
      <c r="R11" s="1594" t="str">
        <f t="shared" si="5"/>
        <v>-</v>
      </c>
      <c r="S11" s="1594" t="str">
        <f t="shared" si="5"/>
        <v>-</v>
      </c>
      <c r="T11" s="1595"/>
      <c r="U11" s="1595"/>
      <c r="V11" s="1508"/>
      <c r="X11" s="99" t="e">
        <f t="shared" si="3"/>
        <v>#VALUE!</v>
      </c>
      <c r="Z11" s="280"/>
      <c r="AA11" s="280"/>
      <c r="AB11" s="280"/>
      <c r="AC11" s="4" t="s">
        <v>418</v>
      </c>
      <c r="AD11" s="281">
        <v>570890751</v>
      </c>
      <c r="AE11" s="281">
        <v>919470382</v>
      </c>
      <c r="AF11" s="281">
        <v>0</v>
      </c>
      <c r="AG11" s="281">
        <v>0</v>
      </c>
      <c r="AH11" s="281">
        <v>0</v>
      </c>
      <c r="AI11" s="281">
        <v>0</v>
      </c>
      <c r="AJ11" s="354">
        <v>0</v>
      </c>
      <c r="AK11" s="354">
        <v>0</v>
      </c>
      <c r="AL11" s="344">
        <v>0</v>
      </c>
      <c r="AM11" s="355">
        <v>0</v>
      </c>
      <c r="AN11" s="356">
        <v>0</v>
      </c>
      <c r="AO11" s="357"/>
      <c r="AP11" s="358"/>
      <c r="AQ11" s="98"/>
      <c r="AR11" s="83">
        <f>AN11-AM11</f>
        <v>0</v>
      </c>
      <c r="AS11" s="353" t="e">
        <f>AN11/AM11</f>
        <v>#DIV/0!</v>
      </c>
    </row>
    <row r="12" spans="1:45" ht="14.85" customHeight="1">
      <c r="A12" s="1486"/>
      <c r="B12" s="1589"/>
      <c r="C12" s="1547"/>
      <c r="D12" s="1552"/>
      <c r="E12" s="1489" t="s">
        <v>992</v>
      </c>
      <c r="F12" s="1486"/>
      <c r="G12" s="1486"/>
      <c r="H12" s="1556"/>
      <c r="I12" s="1596">
        <f t="shared" ref="I12:S13" si="6">IF(AD12=0,"-",ROUNDDOWN(AD12,-6)/1000000)</f>
        <v>5400</v>
      </c>
      <c r="J12" s="1596">
        <f t="shared" si="6"/>
        <v>1529</v>
      </c>
      <c r="K12" s="1596">
        <f t="shared" si="6"/>
        <v>1649</v>
      </c>
      <c r="L12" s="1596">
        <f t="shared" si="6"/>
        <v>6467</v>
      </c>
      <c r="M12" s="1596">
        <f t="shared" si="6"/>
        <v>8908</v>
      </c>
      <c r="N12" s="1596">
        <f t="shared" si="6"/>
        <v>4968</v>
      </c>
      <c r="O12" s="1596">
        <f t="shared" si="6"/>
        <v>7511</v>
      </c>
      <c r="P12" s="1596">
        <f t="shared" si="6"/>
        <v>7103</v>
      </c>
      <c r="Q12" s="1596">
        <f t="shared" si="6"/>
        <v>12256</v>
      </c>
      <c r="R12" s="1596">
        <f t="shared" si="6"/>
        <v>15488</v>
      </c>
      <c r="S12" s="1596">
        <f t="shared" si="6"/>
        <v>14483</v>
      </c>
      <c r="T12" s="1597"/>
      <c r="U12" s="1597"/>
      <c r="V12" s="1508"/>
      <c r="X12" s="99">
        <f t="shared" si="3"/>
        <v>0.93511105371900827</v>
      </c>
      <c r="Z12" s="280"/>
      <c r="AA12" s="280"/>
      <c r="AB12" s="280"/>
      <c r="AC12" s="4" t="s">
        <v>207</v>
      </c>
      <c r="AD12" s="281">
        <v>5400806674</v>
      </c>
      <c r="AE12" s="281">
        <v>1529255669</v>
      </c>
      <c r="AF12" s="281">
        <v>1649205334</v>
      </c>
      <c r="AG12" s="281">
        <v>6467135825</v>
      </c>
      <c r="AH12" s="281">
        <v>8908225627</v>
      </c>
      <c r="AI12" s="281">
        <v>4968902285</v>
      </c>
      <c r="AJ12" s="354">
        <v>7511864888</v>
      </c>
      <c r="AK12" s="354">
        <v>7103972154</v>
      </c>
      <c r="AL12" s="344">
        <v>12256408897</v>
      </c>
      <c r="AM12" s="355">
        <v>15488503657</v>
      </c>
      <c r="AN12" s="356">
        <v>14483632044</v>
      </c>
      <c r="AO12" s="357"/>
      <c r="AP12" s="358"/>
      <c r="AQ12" s="98"/>
      <c r="AR12" s="83">
        <f t="shared" si="4"/>
        <v>-1004871613</v>
      </c>
      <c r="AS12" s="353">
        <f t="shared" si="2"/>
        <v>0.9351214529658034</v>
      </c>
    </row>
    <row r="13" spans="1:45" ht="14.85" customHeight="1">
      <c r="A13" s="1486"/>
      <c r="B13" s="1589"/>
      <c r="C13" s="1557"/>
      <c r="D13" s="1558"/>
      <c r="E13" s="1559" t="s">
        <v>993</v>
      </c>
      <c r="F13" s="1560"/>
      <c r="G13" s="1560"/>
      <c r="H13" s="1561"/>
      <c r="I13" s="1598">
        <f t="shared" si="6"/>
        <v>-44</v>
      </c>
      <c r="J13" s="1598">
        <f t="shared" si="6"/>
        <v>-38</v>
      </c>
      <c r="K13" s="1598">
        <f>IF(AF13=0,"-",ROUNDDOWN(AF13,-6)/1000000)</f>
        <v>-61</v>
      </c>
      <c r="L13" s="1598">
        <f t="shared" si="6"/>
        <v>-44</v>
      </c>
      <c r="M13" s="1598">
        <f t="shared" si="6"/>
        <v>-38</v>
      </c>
      <c r="N13" s="1598">
        <f t="shared" si="6"/>
        <v>-23</v>
      </c>
      <c r="O13" s="1598">
        <f t="shared" si="6"/>
        <v>-18</v>
      </c>
      <c r="P13" s="1598">
        <f t="shared" si="6"/>
        <v>-35</v>
      </c>
      <c r="Q13" s="1598">
        <f t="shared" si="6"/>
        <v>-124</v>
      </c>
      <c r="R13" s="1598">
        <f t="shared" si="6"/>
        <v>-253</v>
      </c>
      <c r="S13" s="1598">
        <f t="shared" si="6"/>
        <v>-308</v>
      </c>
      <c r="T13" s="1599"/>
      <c r="U13" s="1599"/>
      <c r="V13" s="1508"/>
      <c r="X13" s="99">
        <f t="shared" si="3"/>
        <v>1.2173913043478262</v>
      </c>
      <c r="Z13" s="280"/>
      <c r="AA13" s="359"/>
      <c r="AB13" s="274"/>
      <c r="AC13" s="348" t="s">
        <v>196</v>
      </c>
      <c r="AD13" s="360">
        <v>-44458219</v>
      </c>
      <c r="AE13" s="360">
        <v>-38485256</v>
      </c>
      <c r="AF13" s="360">
        <v>-61039136</v>
      </c>
      <c r="AG13" s="360">
        <v>-44192278</v>
      </c>
      <c r="AH13" s="360">
        <v>-38846953</v>
      </c>
      <c r="AI13" s="360">
        <v>-23808030</v>
      </c>
      <c r="AJ13" s="361">
        <v>-18770991</v>
      </c>
      <c r="AK13" s="361">
        <v>-35671823</v>
      </c>
      <c r="AL13" s="362">
        <v>-124601737</v>
      </c>
      <c r="AM13" s="363">
        <v>-253856192</v>
      </c>
      <c r="AN13" s="364">
        <v>-308982938</v>
      </c>
      <c r="AO13" s="279"/>
      <c r="AP13" s="97"/>
      <c r="AQ13" s="98"/>
      <c r="AR13" s="83">
        <f t="shared" si="4"/>
        <v>-55126746</v>
      </c>
      <c r="AS13" s="353">
        <f t="shared" si="2"/>
        <v>1.2171573817667602</v>
      </c>
    </row>
    <row r="14" spans="1:45" ht="14.85" customHeight="1">
      <c r="A14" s="1486"/>
      <c r="B14" s="1589"/>
      <c r="C14" s="1547" t="s">
        <v>994</v>
      </c>
      <c r="D14" s="1486"/>
      <c r="E14" s="1489"/>
      <c r="F14" s="1486"/>
      <c r="G14" s="1486"/>
      <c r="H14" s="1489"/>
      <c r="I14" s="1596">
        <f t="shared" ref="I14:Q17" si="7">IF(AD14=0,"-",ROUNDDOWN(AD14,-6)/1000000)</f>
        <v>105391</v>
      </c>
      <c r="J14" s="1596">
        <f t="shared" si="7"/>
        <v>105911</v>
      </c>
      <c r="K14" s="1596">
        <f t="shared" si="7"/>
        <v>159514</v>
      </c>
      <c r="L14" s="1596">
        <f t="shared" si="7"/>
        <v>155271</v>
      </c>
      <c r="M14" s="1596">
        <f t="shared" si="7"/>
        <v>151037</v>
      </c>
      <c r="N14" s="1596">
        <f t="shared" si="7"/>
        <v>129171</v>
      </c>
      <c r="O14" s="1596">
        <f t="shared" si="7"/>
        <v>125481</v>
      </c>
      <c r="P14" s="1596">
        <f t="shared" si="7"/>
        <v>126295</v>
      </c>
      <c r="Q14" s="1596">
        <f t="shared" si="7"/>
        <v>123186</v>
      </c>
      <c r="R14" s="1596">
        <f t="shared" ref="R14:S17" si="8">IF(AM14=0,"-",ROUNDDOWN(AM14,-6)/1000000)</f>
        <v>122706</v>
      </c>
      <c r="S14" s="1596">
        <f t="shared" si="8"/>
        <v>128389</v>
      </c>
      <c r="T14" s="1597">
        <f>AO14</f>
        <v>4.6309894629164905</v>
      </c>
      <c r="U14" s="1597">
        <f>AP14</f>
        <v>1.9934604240291698</v>
      </c>
      <c r="V14" s="1508"/>
      <c r="X14" s="99"/>
      <c r="Z14" s="280"/>
      <c r="AA14" s="280" t="s">
        <v>332</v>
      </c>
      <c r="AB14" s="345"/>
      <c r="AC14" s="348"/>
      <c r="AD14" s="365">
        <v>105391333387</v>
      </c>
      <c r="AE14" s="365">
        <v>105911568554</v>
      </c>
      <c r="AF14" s="365">
        <v>159514308679</v>
      </c>
      <c r="AG14" s="365">
        <v>155271880047</v>
      </c>
      <c r="AH14" s="365">
        <v>151037341457</v>
      </c>
      <c r="AI14" s="365">
        <v>129171619260</v>
      </c>
      <c r="AJ14" s="366">
        <v>125481802597</v>
      </c>
      <c r="AK14" s="366">
        <v>126295088761</v>
      </c>
      <c r="AL14" s="367">
        <v>123186039426</v>
      </c>
      <c r="AM14" s="1990">
        <v>122706574988</v>
      </c>
      <c r="AN14" s="1991">
        <v>128389103546</v>
      </c>
      <c r="AO14" s="287">
        <f>IF(OR(AM14&lt;0,AN14&lt;0),"-",(AN14/AM14-1)*100)</f>
        <v>4.6309894629164905</v>
      </c>
      <c r="AP14" s="127">
        <f>IF(ISERROR(((AN14/AD14)^(1/10)-1)*100),"-",((AN14/AD14)^(1/10)-1)*100)</f>
        <v>1.9934604240291698</v>
      </c>
      <c r="AQ14" s="98"/>
      <c r="AR14" s="83">
        <f t="shared" si="4"/>
        <v>5682528558</v>
      </c>
      <c r="AS14" s="353">
        <f t="shared" si="2"/>
        <v>1.0463098946291649</v>
      </c>
    </row>
    <row r="15" spans="1:45" ht="14.85" customHeight="1">
      <c r="A15" s="1486"/>
      <c r="B15" s="1589"/>
      <c r="C15" s="1562"/>
      <c r="D15" s="1563" t="s">
        <v>995</v>
      </c>
      <c r="E15" s="1564"/>
      <c r="F15" s="1565"/>
      <c r="G15" s="1565"/>
      <c r="H15" s="1564"/>
      <c r="I15" s="1600">
        <f t="shared" si="7"/>
        <v>96101</v>
      </c>
      <c r="J15" s="1600">
        <f t="shared" si="7"/>
        <v>96868</v>
      </c>
      <c r="K15" s="1600">
        <f t="shared" si="7"/>
        <v>106508</v>
      </c>
      <c r="L15" s="1600">
        <f t="shared" si="7"/>
        <v>104887</v>
      </c>
      <c r="M15" s="1600">
        <f t="shared" si="7"/>
        <v>106747</v>
      </c>
      <c r="N15" s="1600">
        <f t="shared" si="7"/>
        <v>103302</v>
      </c>
      <c r="O15" s="1600">
        <f t="shared" si="7"/>
        <v>100379</v>
      </c>
      <c r="P15" s="1600">
        <f t="shared" si="7"/>
        <v>100604</v>
      </c>
      <c r="Q15" s="1600">
        <f t="shared" si="7"/>
        <v>98996</v>
      </c>
      <c r="R15" s="1600">
        <f t="shared" si="8"/>
        <v>98333</v>
      </c>
      <c r="S15" s="1600">
        <f>IF(AN15=0,"-",ROUNDDOWN(AN15,-6)/1000000)</f>
        <v>101880</v>
      </c>
      <c r="T15" s="1601">
        <f>AO15</f>
        <v>3.6073527441551123</v>
      </c>
      <c r="U15" s="1601">
        <f>AP15</f>
        <v>0.58568210613885174</v>
      </c>
      <c r="V15" s="1508"/>
      <c r="X15" s="99"/>
      <c r="Z15" s="280"/>
      <c r="AA15" s="368"/>
      <c r="AB15" s="369" t="s">
        <v>197</v>
      </c>
      <c r="AC15" s="370"/>
      <c r="AD15" s="283">
        <v>96101339386</v>
      </c>
      <c r="AE15" s="283">
        <v>96868530240</v>
      </c>
      <c r="AF15" s="283">
        <v>106508589605</v>
      </c>
      <c r="AG15" s="283">
        <v>104887777593</v>
      </c>
      <c r="AH15" s="283">
        <v>106747518863</v>
      </c>
      <c r="AI15" s="283">
        <v>103302583581</v>
      </c>
      <c r="AJ15" s="372">
        <v>100379703742</v>
      </c>
      <c r="AK15" s="372">
        <v>100604796231</v>
      </c>
      <c r="AL15" s="373">
        <v>98996912374</v>
      </c>
      <c r="AM15" s="285">
        <v>98333278018</v>
      </c>
      <c r="AN15" s="286">
        <v>101880506221</v>
      </c>
      <c r="AO15" s="287">
        <f>IF(OR(AM15&lt;0,AN15&lt;0),"-",(AN15/AM15-1)*100)</f>
        <v>3.6073527441551123</v>
      </c>
      <c r="AP15" s="127">
        <f>IF(ISERROR(((AN15/AD15)^(1/10)-1)*100),"-",((AN15/AD15)^(1/10)-1)*100)</f>
        <v>0.58568210613885174</v>
      </c>
      <c r="AQ15" s="98"/>
      <c r="AR15" s="83">
        <f t="shared" si="4"/>
        <v>3547228203</v>
      </c>
      <c r="AS15" s="353">
        <f t="shared" si="2"/>
        <v>1.0360735274415511</v>
      </c>
    </row>
    <row r="16" spans="1:45" ht="14.85" customHeight="1">
      <c r="A16" s="1486"/>
      <c r="B16" s="1589"/>
      <c r="C16" s="1547"/>
      <c r="D16" s="1566"/>
      <c r="E16" s="1563" t="s">
        <v>996</v>
      </c>
      <c r="F16" s="1550"/>
      <c r="G16" s="1550"/>
      <c r="H16" s="1551"/>
      <c r="I16" s="1592">
        <f t="shared" si="7"/>
        <v>36699</v>
      </c>
      <c r="J16" s="1592">
        <f t="shared" si="7"/>
        <v>35979</v>
      </c>
      <c r="K16" s="1592">
        <f t="shared" si="7"/>
        <v>37555</v>
      </c>
      <c r="L16" s="1592">
        <f t="shared" si="7"/>
        <v>34972</v>
      </c>
      <c r="M16" s="1592">
        <f t="shared" si="7"/>
        <v>36573</v>
      </c>
      <c r="N16" s="1592">
        <f t="shared" si="7"/>
        <v>35548</v>
      </c>
      <c r="O16" s="1592">
        <f t="shared" si="7"/>
        <v>33426</v>
      </c>
      <c r="P16" s="1592">
        <f>IF(AK16=0,"-",ROUNDDOWN(AK16,-6)/1000000)</f>
        <v>34313</v>
      </c>
      <c r="Q16" s="1592">
        <f t="shared" si="7"/>
        <v>32680</v>
      </c>
      <c r="R16" s="1592">
        <f t="shared" si="8"/>
        <v>30694</v>
      </c>
      <c r="S16" s="1592">
        <f t="shared" si="8"/>
        <v>36188</v>
      </c>
      <c r="T16" s="1593"/>
      <c r="U16" s="1593"/>
      <c r="V16" s="1508"/>
      <c r="X16" s="99">
        <f>S16/R16</f>
        <v>1.1789926369974588</v>
      </c>
      <c r="Z16" s="280"/>
      <c r="AA16" s="280"/>
      <c r="AB16" s="374"/>
      <c r="AC16" s="4" t="s">
        <v>208</v>
      </c>
      <c r="AD16" s="281">
        <v>36699620484</v>
      </c>
      <c r="AE16" s="281">
        <v>35979286319</v>
      </c>
      <c r="AF16" s="281">
        <v>37555626376</v>
      </c>
      <c r="AG16" s="281">
        <v>34972266392</v>
      </c>
      <c r="AH16" s="281">
        <v>36573298146</v>
      </c>
      <c r="AI16" s="281">
        <v>35548125296</v>
      </c>
      <c r="AJ16" s="354">
        <v>33426075217</v>
      </c>
      <c r="AK16" s="354">
        <v>34313832024</v>
      </c>
      <c r="AL16" s="344">
        <v>32680992089</v>
      </c>
      <c r="AM16" s="355">
        <v>30694882933</v>
      </c>
      <c r="AN16" s="356">
        <v>36188067619</v>
      </c>
      <c r="AO16" s="357"/>
      <c r="AP16" s="358"/>
      <c r="AQ16" s="98"/>
      <c r="AR16" s="83">
        <f t="shared" si="4"/>
        <v>5493184686</v>
      </c>
      <c r="AS16" s="353">
        <f t="shared" si="2"/>
        <v>1.178960926418595</v>
      </c>
    </row>
    <row r="17" spans="1:45" ht="14.85" hidden="1" customHeight="1" outlineLevel="1">
      <c r="A17" s="1486"/>
      <c r="B17" s="1589"/>
      <c r="C17" s="1547"/>
      <c r="D17" s="1566"/>
      <c r="E17" s="1567" t="s">
        <v>997</v>
      </c>
      <c r="F17" s="1554"/>
      <c r="G17" s="1554"/>
      <c r="H17" s="1555"/>
      <c r="I17" s="1594">
        <f t="shared" si="7"/>
        <v>747</v>
      </c>
      <c r="J17" s="1594">
        <f t="shared" si="7"/>
        <v>727</v>
      </c>
      <c r="K17" s="1594">
        <f t="shared" si="7"/>
        <v>785</v>
      </c>
      <c r="L17" s="1594">
        <f t="shared" si="7"/>
        <v>966</v>
      </c>
      <c r="M17" s="1594">
        <f t="shared" si="7"/>
        <v>759</v>
      </c>
      <c r="N17" s="1594">
        <f t="shared" si="7"/>
        <v>872</v>
      </c>
      <c r="O17" s="1594">
        <f t="shared" si="7"/>
        <v>709</v>
      </c>
      <c r="P17" s="1594">
        <f t="shared" si="7"/>
        <v>653</v>
      </c>
      <c r="Q17" s="1594">
        <f t="shared" si="7"/>
        <v>715</v>
      </c>
      <c r="R17" s="1594">
        <f t="shared" si="8"/>
        <v>1155</v>
      </c>
      <c r="S17" s="1594">
        <f t="shared" si="8"/>
        <v>872</v>
      </c>
      <c r="T17" s="1595"/>
      <c r="U17" s="1595"/>
      <c r="V17" s="1508"/>
      <c r="X17" s="99">
        <f>S17/R17</f>
        <v>0.75497835497835497</v>
      </c>
      <c r="Z17" s="280"/>
      <c r="AA17" s="280"/>
      <c r="AB17" s="374"/>
      <c r="AC17" s="4" t="s">
        <v>348</v>
      </c>
      <c r="AD17" s="281">
        <v>747099092</v>
      </c>
      <c r="AE17" s="281">
        <v>727913567</v>
      </c>
      <c r="AF17" s="281">
        <v>785904372</v>
      </c>
      <c r="AG17" s="281">
        <v>966595646</v>
      </c>
      <c r="AH17" s="281">
        <v>759819532</v>
      </c>
      <c r="AI17" s="281">
        <v>872092765</v>
      </c>
      <c r="AJ17" s="354">
        <v>709476836</v>
      </c>
      <c r="AK17" s="354">
        <v>653493904</v>
      </c>
      <c r="AL17" s="344">
        <v>715002632</v>
      </c>
      <c r="AM17" s="355">
        <v>1155618279</v>
      </c>
      <c r="AN17" s="356">
        <v>872710611</v>
      </c>
      <c r="AO17" s="357"/>
      <c r="AP17" s="358"/>
      <c r="AQ17" s="98"/>
      <c r="AR17" s="83">
        <f t="shared" si="4"/>
        <v>-282907668</v>
      </c>
      <c r="AS17" s="353">
        <f t="shared" si="2"/>
        <v>0.75518934483728428</v>
      </c>
    </row>
    <row r="18" spans="1:45" ht="14.85" customHeight="1" collapsed="1">
      <c r="A18" s="1486"/>
      <c r="B18" s="1589"/>
      <c r="C18" s="1547"/>
      <c r="D18" s="1566"/>
      <c r="E18" s="1553" t="s">
        <v>998</v>
      </c>
      <c r="F18" s="1554"/>
      <c r="G18" s="1554"/>
      <c r="H18" s="1555"/>
      <c r="I18" s="1594">
        <f t="shared" ref="I18:S19" si="9">IF(AD18=0,"-",ROUNDDOWN(AD18,-6)/1000000)</f>
        <v>1100</v>
      </c>
      <c r="J18" s="1594">
        <f t="shared" si="9"/>
        <v>2787</v>
      </c>
      <c r="K18" s="1594">
        <f t="shared" si="9"/>
        <v>2426</v>
      </c>
      <c r="L18" s="1594">
        <f t="shared" si="9"/>
        <v>2194</v>
      </c>
      <c r="M18" s="1594">
        <f t="shared" si="9"/>
        <v>2536</v>
      </c>
      <c r="N18" s="1594">
        <f t="shared" si="9"/>
        <v>3043</v>
      </c>
      <c r="O18" s="1594">
        <f t="shared" si="9"/>
        <v>2286</v>
      </c>
      <c r="P18" s="1594">
        <f t="shared" si="9"/>
        <v>1800</v>
      </c>
      <c r="Q18" s="1594">
        <f t="shared" si="9"/>
        <v>1559</v>
      </c>
      <c r="R18" s="1594">
        <f t="shared" si="9"/>
        <v>1486</v>
      </c>
      <c r="S18" s="1594">
        <f t="shared" si="9"/>
        <v>1832</v>
      </c>
      <c r="T18" s="1595"/>
      <c r="U18" s="1595"/>
      <c r="V18" s="1508"/>
      <c r="X18" s="99">
        <f>S18/R18</f>
        <v>1.2328398384925976</v>
      </c>
      <c r="Z18" s="280"/>
      <c r="AA18" s="280"/>
      <c r="AB18" s="374"/>
      <c r="AC18" s="4" t="s">
        <v>209</v>
      </c>
      <c r="AD18" s="281">
        <v>1100737703</v>
      </c>
      <c r="AE18" s="281">
        <v>2787771835</v>
      </c>
      <c r="AF18" s="281">
        <v>2426200071</v>
      </c>
      <c r="AG18" s="281">
        <v>2194025992</v>
      </c>
      <c r="AH18" s="281">
        <v>2536758207</v>
      </c>
      <c r="AI18" s="281">
        <v>3043485801</v>
      </c>
      <c r="AJ18" s="354">
        <v>2286742774</v>
      </c>
      <c r="AK18" s="354">
        <v>1800706720</v>
      </c>
      <c r="AL18" s="344">
        <v>1559244264</v>
      </c>
      <c r="AM18" s="355">
        <v>1486412161</v>
      </c>
      <c r="AN18" s="356">
        <v>1832774376</v>
      </c>
      <c r="AO18" s="357"/>
      <c r="AP18" s="358"/>
      <c r="AQ18" s="98"/>
      <c r="AR18" s="83">
        <f t="shared" si="4"/>
        <v>346362215</v>
      </c>
      <c r="AS18" s="353">
        <f t="shared" si="2"/>
        <v>1.233018959402876</v>
      </c>
    </row>
    <row r="19" spans="1:45" ht="14.85" customHeight="1">
      <c r="A19" s="1486"/>
      <c r="B19" s="1589"/>
      <c r="C19" s="1547"/>
      <c r="D19" s="1566"/>
      <c r="E19" s="1568" t="s">
        <v>1532</v>
      </c>
      <c r="F19" s="1486"/>
      <c r="G19" s="1486"/>
      <c r="H19" s="1556"/>
      <c r="I19" s="1596">
        <f t="shared" si="9"/>
        <v>56937</v>
      </c>
      <c r="J19" s="1596">
        <f t="shared" si="9"/>
        <v>56911</v>
      </c>
      <c r="K19" s="1596">
        <f t="shared" si="9"/>
        <v>65623</v>
      </c>
      <c r="L19" s="1596">
        <f t="shared" si="9"/>
        <v>65027</v>
      </c>
      <c r="M19" s="1596">
        <f t="shared" si="9"/>
        <v>65031</v>
      </c>
      <c r="N19" s="1596">
        <f t="shared" si="9"/>
        <v>63686</v>
      </c>
      <c r="O19" s="1596">
        <f t="shared" si="9"/>
        <v>63577</v>
      </c>
      <c r="P19" s="1596">
        <f t="shared" si="9"/>
        <v>63577</v>
      </c>
      <c r="Q19" s="1596">
        <f t="shared" si="9"/>
        <v>63577</v>
      </c>
      <c r="R19" s="1596">
        <f t="shared" si="9"/>
        <v>63564</v>
      </c>
      <c r="S19" s="1596">
        <f t="shared" si="9"/>
        <v>62702</v>
      </c>
      <c r="T19" s="1597"/>
      <c r="U19" s="1597"/>
      <c r="V19" s="1508"/>
      <c r="X19" s="99">
        <f>S19/R19</f>
        <v>0.98643886476621989</v>
      </c>
      <c r="Z19" s="280"/>
      <c r="AA19" s="280"/>
      <c r="AB19" s="374"/>
      <c r="AC19" s="4" t="s">
        <v>335</v>
      </c>
      <c r="AD19" s="281">
        <v>56937689902</v>
      </c>
      <c r="AE19" s="281">
        <v>56911735803</v>
      </c>
      <c r="AF19" s="281">
        <v>65623218554</v>
      </c>
      <c r="AG19" s="281">
        <v>65027968287</v>
      </c>
      <c r="AH19" s="281">
        <v>65031169671</v>
      </c>
      <c r="AI19" s="281">
        <v>63686352200</v>
      </c>
      <c r="AJ19" s="354">
        <v>63577802310</v>
      </c>
      <c r="AK19" s="354">
        <v>63577802931</v>
      </c>
      <c r="AL19" s="344">
        <v>63577802931</v>
      </c>
      <c r="AM19" s="355">
        <v>63564695501</v>
      </c>
      <c r="AN19" s="356">
        <v>62702768036</v>
      </c>
      <c r="AO19" s="357"/>
      <c r="AP19" s="358"/>
      <c r="AQ19" s="98"/>
      <c r="AR19" s="83">
        <f t="shared" si="4"/>
        <v>-861927465</v>
      </c>
      <c r="AS19" s="353">
        <f t="shared" si="2"/>
        <v>0.98644015426792309</v>
      </c>
    </row>
    <row r="20" spans="1:45" ht="14.85" customHeight="1">
      <c r="A20" s="1486"/>
      <c r="B20" s="1589"/>
      <c r="C20" s="1547"/>
      <c r="D20" s="1569"/>
      <c r="E20" s="1572" t="s">
        <v>999</v>
      </c>
      <c r="F20" s="1573"/>
      <c r="G20" s="1573"/>
      <c r="H20" s="1574"/>
      <c r="I20" s="1602">
        <f>IF(AD80=0,"-",ROUNDDOWN(AD80,-6)/1000000)</f>
        <v>1363</v>
      </c>
      <c r="J20" s="1602">
        <f t="shared" ref="J20:R20" si="10">IF(AE80=0,"-",ROUNDDOWN(AE80,-6)/1000000)</f>
        <v>1189</v>
      </c>
      <c r="K20" s="1602">
        <f t="shared" si="10"/>
        <v>903</v>
      </c>
      <c r="L20" s="1602">
        <f t="shared" si="10"/>
        <v>2693</v>
      </c>
      <c r="M20" s="1602">
        <f t="shared" si="10"/>
        <v>2606</v>
      </c>
      <c r="N20" s="1602">
        <f t="shared" si="10"/>
        <v>1024</v>
      </c>
      <c r="O20" s="1602">
        <f t="shared" si="10"/>
        <v>1089</v>
      </c>
      <c r="P20" s="1602">
        <f t="shared" si="10"/>
        <v>912</v>
      </c>
      <c r="Q20" s="1602">
        <f t="shared" si="10"/>
        <v>1178</v>
      </c>
      <c r="R20" s="1602">
        <f t="shared" si="10"/>
        <v>2587</v>
      </c>
      <c r="S20" s="1602">
        <f>IF(AN80=0,"-",ROUNDDOWN(AN80,-6)/1000000)</f>
        <v>1156</v>
      </c>
      <c r="T20" s="1603"/>
      <c r="U20" s="1603"/>
      <c r="V20" s="1508"/>
      <c r="X20" s="99">
        <f>S20/R20</f>
        <v>0.44684963277928103</v>
      </c>
      <c r="Z20" s="280"/>
      <c r="AA20" s="280"/>
      <c r="AB20" s="374"/>
      <c r="AC20" s="4" t="s">
        <v>210</v>
      </c>
      <c r="AD20" s="275">
        <v>616192205</v>
      </c>
      <c r="AE20" s="275">
        <v>461822716</v>
      </c>
      <c r="AF20" s="275">
        <v>117640232</v>
      </c>
      <c r="AG20" s="275">
        <v>1726921276</v>
      </c>
      <c r="AH20" s="275">
        <v>1846473307</v>
      </c>
      <c r="AI20" s="275">
        <v>152527519</v>
      </c>
      <c r="AJ20" s="375">
        <v>379606605</v>
      </c>
      <c r="AK20" s="375">
        <v>258960652</v>
      </c>
      <c r="AL20" s="346">
        <v>463870458</v>
      </c>
      <c r="AM20" s="277">
        <v>1431669144</v>
      </c>
      <c r="AN20" s="278">
        <v>284185579</v>
      </c>
      <c r="AO20" s="279"/>
      <c r="AP20" s="97"/>
      <c r="AQ20" s="98"/>
      <c r="AR20" s="83">
        <f t="shared" si="4"/>
        <v>-1147483565</v>
      </c>
      <c r="AS20" s="353">
        <f t="shared" si="2"/>
        <v>0.19849947887121608</v>
      </c>
    </row>
    <row r="21" spans="1:45" ht="14.85" customHeight="1">
      <c r="A21" s="1486"/>
      <c r="B21" s="1589"/>
      <c r="C21" s="1562"/>
      <c r="D21" s="1563" t="s">
        <v>1000</v>
      </c>
      <c r="E21" s="1564"/>
      <c r="F21" s="1565"/>
      <c r="G21" s="1565"/>
      <c r="H21" s="1564"/>
      <c r="I21" s="1600">
        <f t="shared" ref="I21:Q26" si="11">IF(AD21=0,"-",ROUNDDOWN(AD21,-6)/1000000)</f>
        <v>1578</v>
      </c>
      <c r="J21" s="1600">
        <f t="shared" si="11"/>
        <v>1850</v>
      </c>
      <c r="K21" s="1600">
        <f t="shared" si="11"/>
        <v>44817</v>
      </c>
      <c r="L21" s="1600">
        <f t="shared" si="11"/>
        <v>42358</v>
      </c>
      <c r="M21" s="1600">
        <f t="shared" si="11"/>
        <v>36120</v>
      </c>
      <c r="N21" s="1600">
        <f t="shared" si="11"/>
        <v>15188</v>
      </c>
      <c r="O21" s="1600">
        <f t="shared" si="11"/>
        <v>14575</v>
      </c>
      <c r="P21" s="1600">
        <f t="shared" si="11"/>
        <v>13545</v>
      </c>
      <c r="Q21" s="1600">
        <f t="shared" si="11"/>
        <v>12786</v>
      </c>
      <c r="R21" s="1600">
        <f t="shared" ref="R21:S26" si="12">IF(AM21=0,"-",ROUNDDOWN(AM21,-6)/1000000)</f>
        <v>12866</v>
      </c>
      <c r="S21" s="1600">
        <f t="shared" si="12"/>
        <v>13726</v>
      </c>
      <c r="T21" s="1601">
        <f t="shared" ref="T21:U24" si="13">AO21</f>
        <v>6.6867942488951337</v>
      </c>
      <c r="U21" s="1601">
        <f t="shared" si="13"/>
        <v>24.147454218922903</v>
      </c>
      <c r="V21" s="1508"/>
      <c r="X21" s="99"/>
      <c r="Z21" s="280"/>
      <c r="AA21" s="376"/>
      <c r="AB21" s="369" t="s">
        <v>198</v>
      </c>
      <c r="AC21" s="370"/>
      <c r="AD21" s="283">
        <v>1578300982</v>
      </c>
      <c r="AE21" s="283">
        <v>1850757393</v>
      </c>
      <c r="AF21" s="283">
        <v>44817248732</v>
      </c>
      <c r="AG21" s="283">
        <v>42358579019</v>
      </c>
      <c r="AH21" s="283">
        <v>36120980824</v>
      </c>
      <c r="AI21" s="283">
        <v>15188366811</v>
      </c>
      <c r="AJ21" s="283">
        <v>14575916741</v>
      </c>
      <c r="AK21" s="283">
        <v>13545436338</v>
      </c>
      <c r="AL21" s="283">
        <v>12786231631</v>
      </c>
      <c r="AM21" s="285">
        <v>12866408745</v>
      </c>
      <c r="AN21" s="306">
        <v>13726759025</v>
      </c>
      <c r="AO21" s="279">
        <f>IF(OR(AM21&lt;0,AN21&lt;0),"-",(AN21/AM21-1)*100)</f>
        <v>6.6867942488951337</v>
      </c>
      <c r="AP21" s="97">
        <f>IF(ISERROR(((AN21/AD21)^(1/10)-1)*100),"-",((AN21/AD21)^(1/10)-1)*100)</f>
        <v>24.147454218922903</v>
      </c>
      <c r="AQ21" s="98"/>
      <c r="AR21" s="83">
        <f t="shared" si="4"/>
        <v>860350280</v>
      </c>
      <c r="AS21" s="353">
        <f t="shared" si="2"/>
        <v>1.0668679424889513</v>
      </c>
    </row>
    <row r="22" spans="1:45" ht="14.85" customHeight="1">
      <c r="A22" s="1486"/>
      <c r="B22" s="1589"/>
      <c r="C22" s="1562"/>
      <c r="D22" s="1570"/>
      <c r="E22" s="1548" t="s">
        <v>1001</v>
      </c>
      <c r="F22" s="1549"/>
      <c r="G22" s="1549"/>
      <c r="H22" s="1550"/>
      <c r="I22" s="1592">
        <f t="shared" ref="I22:S22" si="14">IF(AD22=0,"-",ROUNDDOWN(AD22,-6)/1000000)</f>
        <v>396</v>
      </c>
      <c r="J22" s="1592">
        <f t="shared" si="14"/>
        <v>313</v>
      </c>
      <c r="K22" s="1592">
        <f t="shared" si="14"/>
        <v>37280</v>
      </c>
      <c r="L22" s="1592">
        <f t="shared" si="14"/>
        <v>35297</v>
      </c>
      <c r="M22" s="1592">
        <f t="shared" si="14"/>
        <v>29449</v>
      </c>
      <c r="N22" s="1592">
        <f t="shared" si="14"/>
        <v>8906</v>
      </c>
      <c r="O22" s="1592">
        <f t="shared" si="14"/>
        <v>8366</v>
      </c>
      <c r="P22" s="1592">
        <f t="shared" si="14"/>
        <v>7826</v>
      </c>
      <c r="Q22" s="1592">
        <f t="shared" si="14"/>
        <v>7287</v>
      </c>
      <c r="R22" s="1592">
        <f t="shared" si="14"/>
        <v>6747</v>
      </c>
      <c r="S22" s="1592">
        <f t="shared" si="14"/>
        <v>6207</v>
      </c>
      <c r="T22" s="1593"/>
      <c r="U22" s="1593"/>
      <c r="V22" s="1508"/>
      <c r="X22" s="99"/>
      <c r="Z22" s="280"/>
      <c r="AA22" s="376"/>
      <c r="AB22" s="368"/>
      <c r="AC22" s="293" t="s">
        <v>365</v>
      </c>
      <c r="AD22" s="291">
        <v>396468970</v>
      </c>
      <c r="AE22" s="291">
        <v>313001819</v>
      </c>
      <c r="AF22" s="291">
        <v>37280675863</v>
      </c>
      <c r="AG22" s="291">
        <v>35297150190</v>
      </c>
      <c r="AH22" s="291">
        <v>29449843827</v>
      </c>
      <c r="AI22" s="291">
        <v>8906375447</v>
      </c>
      <c r="AJ22" s="377">
        <v>8366595112</v>
      </c>
      <c r="AK22" s="377">
        <v>7826814783</v>
      </c>
      <c r="AL22" s="378">
        <v>7287034452</v>
      </c>
      <c r="AM22" s="294">
        <v>6747254123</v>
      </c>
      <c r="AN22" s="295">
        <v>6207473793</v>
      </c>
      <c r="AO22" s="296"/>
      <c r="AP22" s="105"/>
      <c r="AQ22" s="98"/>
      <c r="AR22" s="83">
        <f>AN22-AM22</f>
        <v>-539780330</v>
      </c>
      <c r="AS22" s="353">
        <f>AN22/AM22</f>
        <v>0.91999999997628668</v>
      </c>
    </row>
    <row r="23" spans="1:45" ht="14.85" customHeight="1">
      <c r="A23" s="1486"/>
      <c r="B23" s="1589"/>
      <c r="C23" s="1562"/>
      <c r="D23" s="1571"/>
      <c r="E23" s="1572" t="s">
        <v>999</v>
      </c>
      <c r="F23" s="1573"/>
      <c r="G23" s="1573"/>
      <c r="H23" s="1574"/>
      <c r="I23" s="1602">
        <f t="shared" si="11"/>
        <v>1181</v>
      </c>
      <c r="J23" s="1602">
        <f t="shared" si="11"/>
        <v>1537</v>
      </c>
      <c r="K23" s="1602">
        <f t="shared" si="11"/>
        <v>7536</v>
      </c>
      <c r="L23" s="1602">
        <f t="shared" si="11"/>
        <v>7061</v>
      </c>
      <c r="M23" s="1602">
        <f t="shared" si="11"/>
        <v>6671</v>
      </c>
      <c r="N23" s="1602">
        <f t="shared" si="11"/>
        <v>6281</v>
      </c>
      <c r="O23" s="1602">
        <f t="shared" si="11"/>
        <v>6209</v>
      </c>
      <c r="P23" s="1602">
        <f t="shared" si="11"/>
        <v>5718</v>
      </c>
      <c r="Q23" s="1602">
        <f t="shared" si="11"/>
        <v>5499</v>
      </c>
      <c r="R23" s="1602">
        <f t="shared" si="12"/>
        <v>6119</v>
      </c>
      <c r="S23" s="1602">
        <f t="shared" si="12"/>
        <v>7519</v>
      </c>
      <c r="T23" s="1603"/>
      <c r="U23" s="1603"/>
      <c r="V23" s="1508"/>
      <c r="X23" s="99"/>
      <c r="Z23" s="280"/>
      <c r="AA23" s="376"/>
      <c r="AB23" s="297"/>
      <c r="AC23" s="274" t="s">
        <v>158</v>
      </c>
      <c r="AD23" s="275">
        <v>1181832012</v>
      </c>
      <c r="AE23" s="275">
        <v>1537755574</v>
      </c>
      <c r="AF23" s="275">
        <v>7536572869</v>
      </c>
      <c r="AG23" s="275">
        <v>7061428829</v>
      </c>
      <c r="AH23" s="275">
        <v>6671136997</v>
      </c>
      <c r="AI23" s="275">
        <v>6281991364</v>
      </c>
      <c r="AJ23" s="375">
        <v>6209321629</v>
      </c>
      <c r="AK23" s="375">
        <v>5718621555</v>
      </c>
      <c r="AL23" s="346">
        <v>5499197179</v>
      </c>
      <c r="AM23" s="277">
        <v>6119154622</v>
      </c>
      <c r="AN23" s="278">
        <v>7519285232</v>
      </c>
      <c r="AO23" s="279"/>
      <c r="AP23" s="97"/>
      <c r="AQ23" s="98"/>
      <c r="AR23" s="83">
        <f t="shared" si="4"/>
        <v>1400130610</v>
      </c>
      <c r="AS23" s="353">
        <f t="shared" si="2"/>
        <v>1.2288111179551102</v>
      </c>
    </row>
    <row r="24" spans="1:45" ht="14.85" customHeight="1">
      <c r="A24" s="1486"/>
      <c r="B24" s="1589"/>
      <c r="C24" s="1562"/>
      <c r="D24" s="1563" t="s">
        <v>1002</v>
      </c>
      <c r="E24" s="1564"/>
      <c r="F24" s="1565"/>
      <c r="G24" s="1565"/>
      <c r="H24" s="1564"/>
      <c r="I24" s="1600">
        <f t="shared" si="11"/>
        <v>7711</v>
      </c>
      <c r="J24" s="1600">
        <f t="shared" si="11"/>
        <v>7192</v>
      </c>
      <c r="K24" s="1600">
        <f t="shared" si="11"/>
        <v>8188</v>
      </c>
      <c r="L24" s="1600">
        <f t="shared" si="11"/>
        <v>8025</v>
      </c>
      <c r="M24" s="1600">
        <f t="shared" si="11"/>
        <v>8168</v>
      </c>
      <c r="N24" s="1600">
        <f t="shared" si="11"/>
        <v>10680</v>
      </c>
      <c r="O24" s="1600">
        <f t="shared" si="11"/>
        <v>10526</v>
      </c>
      <c r="P24" s="1600">
        <f t="shared" si="11"/>
        <v>12144</v>
      </c>
      <c r="Q24" s="1600">
        <f t="shared" si="11"/>
        <v>11402</v>
      </c>
      <c r="R24" s="1600">
        <f t="shared" si="12"/>
        <v>11506</v>
      </c>
      <c r="S24" s="1600">
        <f t="shared" si="12"/>
        <v>12781</v>
      </c>
      <c r="T24" s="1601">
        <f t="shared" si="13"/>
        <v>11.079885804661149</v>
      </c>
      <c r="U24" s="1601">
        <f t="shared" si="13"/>
        <v>5.1827106068949469</v>
      </c>
      <c r="V24" s="1508"/>
      <c r="X24" s="99"/>
      <c r="Z24" s="280"/>
      <c r="AA24" s="376"/>
      <c r="AB24" s="368" t="s">
        <v>211</v>
      </c>
      <c r="AC24" s="345"/>
      <c r="AD24" s="350">
        <v>7711693019</v>
      </c>
      <c r="AE24" s="350">
        <v>7192280921</v>
      </c>
      <c r="AF24" s="350">
        <v>8188470342</v>
      </c>
      <c r="AG24" s="350">
        <v>8025523435</v>
      </c>
      <c r="AH24" s="350">
        <v>8168841770</v>
      </c>
      <c r="AI24" s="350">
        <v>10680668868</v>
      </c>
      <c r="AJ24" s="351">
        <v>10526182114</v>
      </c>
      <c r="AK24" s="351">
        <v>12144856192</v>
      </c>
      <c r="AL24" s="379">
        <v>11402895421</v>
      </c>
      <c r="AM24" s="1992">
        <v>11506888225</v>
      </c>
      <c r="AN24" s="1993">
        <v>12781838300</v>
      </c>
      <c r="AO24" s="279">
        <f>IF(OR(AM24&lt;0,AN24&lt;0),"-",(AN24/AM24-1)*100)</f>
        <v>11.079885804661149</v>
      </c>
      <c r="AP24" s="97">
        <f>IF(ISERROR(((AN24/AD24)^(1/10)-1)*100),"-",((AN24/AD24)^(1/10)-1)*100)</f>
        <v>5.1827106068949469</v>
      </c>
      <c r="AQ24" s="98"/>
      <c r="AR24" s="83">
        <f t="shared" si="4"/>
        <v>1274950075</v>
      </c>
      <c r="AS24" s="353">
        <f t="shared" si="2"/>
        <v>1.1107988580466115</v>
      </c>
    </row>
    <row r="25" spans="1:45" ht="14.85" customHeight="1">
      <c r="A25" s="1486"/>
      <c r="B25" s="1589"/>
      <c r="C25" s="1547"/>
      <c r="D25" s="1566"/>
      <c r="E25" s="1563" t="s">
        <v>1003</v>
      </c>
      <c r="F25" s="1550"/>
      <c r="G25" s="1550"/>
      <c r="H25" s="1551"/>
      <c r="I25" s="1592">
        <f t="shared" si="11"/>
        <v>674</v>
      </c>
      <c r="J25" s="1592">
        <f t="shared" si="11"/>
        <v>483</v>
      </c>
      <c r="K25" s="1592">
        <f t="shared" si="11"/>
        <v>637</v>
      </c>
      <c r="L25" s="1592">
        <f t="shared" si="11"/>
        <v>500</v>
      </c>
      <c r="M25" s="1592">
        <f t="shared" si="11"/>
        <v>627</v>
      </c>
      <c r="N25" s="1592">
        <f t="shared" si="11"/>
        <v>1248</v>
      </c>
      <c r="O25" s="1592">
        <f t="shared" si="11"/>
        <v>1918</v>
      </c>
      <c r="P25" s="1592">
        <f t="shared" si="11"/>
        <v>2530</v>
      </c>
      <c r="Q25" s="1592">
        <f t="shared" si="11"/>
        <v>1112</v>
      </c>
      <c r="R25" s="1592">
        <f t="shared" si="12"/>
        <v>511</v>
      </c>
      <c r="S25" s="1592">
        <f t="shared" si="12"/>
        <v>493</v>
      </c>
      <c r="T25" s="1593"/>
      <c r="U25" s="1593"/>
      <c r="V25" s="1508"/>
      <c r="X25" s="99">
        <f t="shared" ref="X25:X30" si="15">S25/R25</f>
        <v>0.96477495107632094</v>
      </c>
      <c r="Z25" s="280"/>
      <c r="AA25" s="280"/>
      <c r="AB25" s="374"/>
      <c r="AC25" s="4" t="s">
        <v>212</v>
      </c>
      <c r="AD25" s="281">
        <v>674661711</v>
      </c>
      <c r="AE25" s="281">
        <v>483990642</v>
      </c>
      <c r="AF25" s="281">
        <v>637031140</v>
      </c>
      <c r="AG25" s="281">
        <v>500281037</v>
      </c>
      <c r="AH25" s="281">
        <v>627254407</v>
      </c>
      <c r="AI25" s="281">
        <v>1248545702</v>
      </c>
      <c r="AJ25" s="354">
        <v>1918400203</v>
      </c>
      <c r="AK25" s="354">
        <v>2530480049</v>
      </c>
      <c r="AL25" s="344">
        <v>1112484046</v>
      </c>
      <c r="AM25" s="355">
        <v>511377997</v>
      </c>
      <c r="AN25" s="356">
        <v>493592097</v>
      </c>
      <c r="AO25" s="357"/>
      <c r="AP25" s="358"/>
      <c r="AQ25" s="98"/>
      <c r="AR25" s="83">
        <f t="shared" si="4"/>
        <v>-17785900</v>
      </c>
      <c r="AS25" s="353">
        <f t="shared" si="2"/>
        <v>0.9652196611814724</v>
      </c>
    </row>
    <row r="26" spans="1:45" ht="14.85" hidden="1" customHeight="1" outlineLevel="1">
      <c r="A26" s="1486"/>
      <c r="B26" s="1589"/>
      <c r="C26" s="1547"/>
      <c r="D26" s="1566"/>
      <c r="E26" s="1567" t="s">
        <v>1533</v>
      </c>
      <c r="F26" s="1554"/>
      <c r="G26" s="1554"/>
      <c r="H26" s="1555"/>
      <c r="I26" s="1594">
        <f t="shared" si="11"/>
        <v>215</v>
      </c>
      <c r="J26" s="1594">
        <f t="shared" si="11"/>
        <v>172</v>
      </c>
      <c r="K26" s="1594">
        <f t="shared" si="11"/>
        <v>154</v>
      </c>
      <c r="L26" s="1594">
        <f t="shared" si="11"/>
        <v>104</v>
      </c>
      <c r="M26" s="1594">
        <f t="shared" si="11"/>
        <v>73</v>
      </c>
      <c r="N26" s="1594">
        <f t="shared" si="11"/>
        <v>484</v>
      </c>
      <c r="O26" s="1594">
        <f t="shared" si="11"/>
        <v>383</v>
      </c>
      <c r="P26" s="1594">
        <f t="shared" si="11"/>
        <v>270</v>
      </c>
      <c r="Q26" s="1594">
        <f t="shared" si="11"/>
        <v>205</v>
      </c>
      <c r="R26" s="1594">
        <f t="shared" si="12"/>
        <v>212</v>
      </c>
      <c r="S26" s="1594">
        <f t="shared" si="12"/>
        <v>263</v>
      </c>
      <c r="T26" s="1595"/>
      <c r="U26" s="1595"/>
      <c r="V26" s="1508"/>
      <c r="X26" s="99">
        <f t="shared" si="15"/>
        <v>1.2405660377358489</v>
      </c>
      <c r="Z26" s="280"/>
      <c r="AA26" s="280"/>
      <c r="AB26" s="374"/>
      <c r="AC26" s="4" t="s">
        <v>15</v>
      </c>
      <c r="AD26" s="281">
        <v>215148112</v>
      </c>
      <c r="AE26" s="281">
        <v>172162652</v>
      </c>
      <c r="AF26" s="281">
        <v>154843236</v>
      </c>
      <c r="AG26" s="281">
        <v>104567137</v>
      </c>
      <c r="AH26" s="281">
        <v>73442629</v>
      </c>
      <c r="AI26" s="281">
        <v>484719946</v>
      </c>
      <c r="AJ26" s="354">
        <v>383633462</v>
      </c>
      <c r="AK26" s="354">
        <v>270715205</v>
      </c>
      <c r="AL26" s="344">
        <v>205030671</v>
      </c>
      <c r="AM26" s="355">
        <v>212294892</v>
      </c>
      <c r="AN26" s="356">
        <v>263211381</v>
      </c>
      <c r="AO26" s="357"/>
      <c r="AP26" s="358"/>
      <c r="AQ26" s="98"/>
      <c r="AR26" s="83">
        <f t="shared" si="4"/>
        <v>50916489</v>
      </c>
      <c r="AS26" s="353">
        <f t="shared" si="2"/>
        <v>1.239838502567457</v>
      </c>
    </row>
    <row r="27" spans="1:45" ht="14.85" customHeight="1" collapsed="1">
      <c r="A27" s="1486"/>
      <c r="B27" s="1589"/>
      <c r="C27" s="1547"/>
      <c r="D27" s="1566"/>
      <c r="E27" s="1553" t="s">
        <v>1004</v>
      </c>
      <c r="F27" s="1554"/>
      <c r="G27" s="1554"/>
      <c r="H27" s="1555"/>
      <c r="I27" s="1594">
        <f t="shared" ref="I27:S28" si="16">IF(AD27=0,"-",ROUNDDOWN(AD27,-6)/1000000)</f>
        <v>716</v>
      </c>
      <c r="J27" s="1594">
        <f t="shared" si="16"/>
        <v>843</v>
      </c>
      <c r="K27" s="1594">
        <f t="shared" si="16"/>
        <v>1442</v>
      </c>
      <c r="L27" s="1594">
        <f t="shared" si="16"/>
        <v>1487</v>
      </c>
      <c r="M27" s="1594">
        <f t="shared" si="16"/>
        <v>1507</v>
      </c>
      <c r="N27" s="1594">
        <f t="shared" si="16"/>
        <v>1615</v>
      </c>
      <c r="O27" s="1594">
        <f t="shared" si="16"/>
        <v>843</v>
      </c>
      <c r="P27" s="1594">
        <f t="shared" si="16"/>
        <v>1097</v>
      </c>
      <c r="Q27" s="1594">
        <f t="shared" si="16"/>
        <v>1856</v>
      </c>
      <c r="R27" s="1594">
        <f t="shared" si="16"/>
        <v>2356</v>
      </c>
      <c r="S27" s="1594">
        <f t="shared" si="16"/>
        <v>2737</v>
      </c>
      <c r="T27" s="1595"/>
      <c r="U27" s="1595"/>
      <c r="V27" s="1508"/>
      <c r="X27" s="99">
        <f t="shared" si="15"/>
        <v>1.1617147707979627</v>
      </c>
      <c r="Z27" s="280"/>
      <c r="AA27" s="280"/>
      <c r="AB27" s="374"/>
      <c r="AC27" s="4" t="s">
        <v>371</v>
      </c>
      <c r="AD27" s="380">
        <v>716716892</v>
      </c>
      <c r="AE27" s="380">
        <v>843015977</v>
      </c>
      <c r="AF27" s="380">
        <v>1442279571</v>
      </c>
      <c r="AG27" s="380">
        <v>1487379775</v>
      </c>
      <c r="AH27" s="380">
        <v>1507886675</v>
      </c>
      <c r="AI27" s="380">
        <v>1615997590</v>
      </c>
      <c r="AJ27" s="381">
        <v>843287429</v>
      </c>
      <c r="AK27" s="381">
        <v>1097060029</v>
      </c>
      <c r="AL27" s="382">
        <v>1856262008</v>
      </c>
      <c r="AM27" s="355">
        <v>2356055064</v>
      </c>
      <c r="AN27" s="356">
        <v>2737585376</v>
      </c>
      <c r="AO27" s="357"/>
      <c r="AP27" s="358"/>
      <c r="AQ27" s="98"/>
      <c r="AR27" s="83">
        <f t="shared" si="4"/>
        <v>381530312</v>
      </c>
      <c r="AS27" s="353">
        <f t="shared" si="2"/>
        <v>1.1619360760407083</v>
      </c>
    </row>
    <row r="28" spans="1:45" ht="14.85" customHeight="1">
      <c r="A28" s="1486"/>
      <c r="B28" s="1589"/>
      <c r="C28" s="1547"/>
      <c r="D28" s="1566"/>
      <c r="E28" s="1568" t="s">
        <v>1005</v>
      </c>
      <c r="F28" s="1486"/>
      <c r="G28" s="1486"/>
      <c r="H28" s="1556"/>
      <c r="I28" s="1596">
        <f t="shared" si="16"/>
        <v>2556</v>
      </c>
      <c r="J28" s="1596">
        <f t="shared" si="16"/>
        <v>2482</v>
      </c>
      <c r="K28" s="1596">
        <f t="shared" si="16"/>
        <v>2455</v>
      </c>
      <c r="L28" s="1596">
        <f t="shared" si="16"/>
        <v>2455</v>
      </c>
      <c r="M28" s="1596">
        <f t="shared" si="16"/>
        <v>2455</v>
      </c>
      <c r="N28" s="1596">
        <f t="shared" si="16"/>
        <v>2456</v>
      </c>
      <c r="O28" s="1596">
        <f t="shared" si="16"/>
        <v>2456</v>
      </c>
      <c r="P28" s="1596">
        <f t="shared" si="16"/>
        <v>2456</v>
      </c>
      <c r="Q28" s="1596">
        <f t="shared" si="16"/>
        <v>2456</v>
      </c>
      <c r="R28" s="1596">
        <f t="shared" si="16"/>
        <v>2529</v>
      </c>
      <c r="S28" s="1596">
        <f t="shared" si="16"/>
        <v>2529</v>
      </c>
      <c r="T28" s="1597"/>
      <c r="U28" s="1597"/>
      <c r="V28" s="1508"/>
      <c r="X28" s="99">
        <f t="shared" si="15"/>
        <v>1</v>
      </c>
      <c r="Z28" s="280"/>
      <c r="AA28" s="280"/>
      <c r="AB28" s="374"/>
      <c r="AC28" s="4" t="s">
        <v>152</v>
      </c>
      <c r="AD28" s="281">
        <v>2556038011</v>
      </c>
      <c r="AE28" s="6">
        <v>2482465859</v>
      </c>
      <c r="AF28" s="281">
        <v>2455790988</v>
      </c>
      <c r="AG28" s="281">
        <v>2455790988</v>
      </c>
      <c r="AH28" s="6">
        <v>2455790988</v>
      </c>
      <c r="AI28" s="281">
        <v>2456965947</v>
      </c>
      <c r="AJ28" s="354">
        <v>2456965947</v>
      </c>
      <c r="AK28" s="354">
        <v>2456965947</v>
      </c>
      <c r="AL28" s="344">
        <v>2456965947</v>
      </c>
      <c r="AM28" s="355">
        <v>2529401039</v>
      </c>
      <c r="AN28" s="356">
        <v>2529401039</v>
      </c>
      <c r="AO28" s="357"/>
      <c r="AP28" s="358"/>
      <c r="AQ28" s="98"/>
      <c r="AR28" s="83">
        <f t="shared" si="4"/>
        <v>0</v>
      </c>
      <c r="AS28" s="353">
        <f t="shared" si="2"/>
        <v>1</v>
      </c>
    </row>
    <row r="29" spans="1:45" ht="14.85" customHeight="1">
      <c r="A29" s="1486"/>
      <c r="B29" s="1589"/>
      <c r="C29" s="1547"/>
      <c r="D29" s="1566"/>
      <c r="E29" s="1553" t="s">
        <v>992</v>
      </c>
      <c r="F29" s="1554"/>
      <c r="G29" s="1554"/>
      <c r="H29" s="1555"/>
      <c r="I29" s="1594">
        <f>IF(AD81=0,"-",ROUNDDOWN(AD81,-6)/1000000)</f>
        <v>4256</v>
      </c>
      <c r="J29" s="1594">
        <f t="shared" ref="J29:S29" si="17">IF(AE81=0,"-",ROUNDDOWN(AE81,-6)/1000000)</f>
        <v>3873</v>
      </c>
      <c r="K29" s="1594">
        <f t="shared" si="17"/>
        <v>4146</v>
      </c>
      <c r="L29" s="1594">
        <f t="shared" si="17"/>
        <v>4117</v>
      </c>
      <c r="M29" s="1594">
        <f t="shared" si="17"/>
        <v>3734</v>
      </c>
      <c r="N29" s="1594">
        <f t="shared" si="17"/>
        <v>5502</v>
      </c>
      <c r="O29" s="1594">
        <f t="shared" si="17"/>
        <v>5414</v>
      </c>
      <c r="P29" s="1594">
        <f t="shared" si="17"/>
        <v>6204</v>
      </c>
      <c r="Q29" s="1594">
        <f t="shared" si="17"/>
        <v>6168</v>
      </c>
      <c r="R29" s="1594">
        <f t="shared" si="17"/>
        <v>6545</v>
      </c>
      <c r="S29" s="1594">
        <f t="shared" si="17"/>
        <v>7709</v>
      </c>
      <c r="T29" s="1595"/>
      <c r="U29" s="1595"/>
      <c r="V29" s="1508"/>
      <c r="X29" s="99">
        <f t="shared" si="15"/>
        <v>1.1778456837280367</v>
      </c>
      <c r="Z29" s="280"/>
      <c r="AA29" s="280"/>
      <c r="AB29" s="374"/>
      <c r="AC29" s="4" t="s">
        <v>16</v>
      </c>
      <c r="AD29" s="281">
        <v>4041045241</v>
      </c>
      <c r="AE29" s="281">
        <v>3701128314</v>
      </c>
      <c r="AF29" s="281">
        <v>3991703984</v>
      </c>
      <c r="AG29" s="281">
        <v>4012555361</v>
      </c>
      <c r="AH29" s="281">
        <v>3661486488</v>
      </c>
      <c r="AI29" s="281">
        <v>5017654104</v>
      </c>
      <c r="AJ29" s="354">
        <v>5030631812</v>
      </c>
      <c r="AK29" s="354">
        <v>5933350762</v>
      </c>
      <c r="AL29" s="344">
        <v>5963288358</v>
      </c>
      <c r="AM29" s="355">
        <v>6333557965</v>
      </c>
      <c r="AN29" s="356">
        <v>7446422420</v>
      </c>
      <c r="AO29" s="357"/>
      <c r="AP29" s="358"/>
      <c r="AQ29" s="98"/>
      <c r="AR29" s="83">
        <f t="shared" si="4"/>
        <v>1112864455</v>
      </c>
      <c r="AS29" s="353">
        <f t="shared" si="2"/>
        <v>1.1757092081812186</v>
      </c>
    </row>
    <row r="30" spans="1:45" ht="14.85" customHeight="1">
      <c r="A30" s="1486"/>
      <c r="B30" s="1589"/>
      <c r="C30" s="1547"/>
      <c r="D30" s="1575"/>
      <c r="E30" s="2053" t="s">
        <v>993</v>
      </c>
      <c r="F30" s="1578"/>
      <c r="G30" s="1578"/>
      <c r="H30" s="1579"/>
      <c r="I30" s="1606">
        <f>IF(AD30=0,"-",ROUNDDOWN(AD30,-6)/1000000)</f>
        <v>-491</v>
      </c>
      <c r="J30" s="1606">
        <f t="shared" ref="J30:S30" si="18">IF(AE30=0,"-",ROUNDDOWN(AE30,-6)/1000000)</f>
        <v>-490</v>
      </c>
      <c r="K30" s="1606">
        <f t="shared" si="18"/>
        <v>-493</v>
      </c>
      <c r="L30" s="1606">
        <f t="shared" si="18"/>
        <v>-535</v>
      </c>
      <c r="M30" s="1606">
        <f t="shared" si="18"/>
        <v>-157</v>
      </c>
      <c r="N30" s="1606">
        <f t="shared" si="18"/>
        <v>-143</v>
      </c>
      <c r="O30" s="1606">
        <f t="shared" si="18"/>
        <v>-106</v>
      </c>
      <c r="P30" s="1606">
        <f t="shared" si="18"/>
        <v>-143</v>
      </c>
      <c r="Q30" s="1606">
        <f t="shared" si="18"/>
        <v>-191</v>
      </c>
      <c r="R30" s="1606">
        <f t="shared" si="18"/>
        <v>-435</v>
      </c>
      <c r="S30" s="1606">
        <f t="shared" si="18"/>
        <v>-688</v>
      </c>
      <c r="T30" s="1607"/>
      <c r="U30" s="1607"/>
      <c r="V30" s="1508"/>
      <c r="X30" s="99">
        <f t="shared" si="15"/>
        <v>1.5816091954022988</v>
      </c>
      <c r="Z30" s="280"/>
      <c r="AA30" s="280"/>
      <c r="AB30" s="359"/>
      <c r="AC30" s="297" t="s">
        <v>333</v>
      </c>
      <c r="AD30" s="383">
        <v>-491916948</v>
      </c>
      <c r="AE30" s="383">
        <v>-490482523</v>
      </c>
      <c r="AF30" s="383">
        <v>-493178577</v>
      </c>
      <c r="AG30" s="383">
        <v>-535050863</v>
      </c>
      <c r="AH30" s="383">
        <v>-157019417</v>
      </c>
      <c r="AI30" s="383">
        <v>-143214421</v>
      </c>
      <c r="AJ30" s="361">
        <v>-106736739</v>
      </c>
      <c r="AK30" s="361">
        <v>-143715800</v>
      </c>
      <c r="AL30" s="362">
        <v>-191135609</v>
      </c>
      <c r="AM30" s="363">
        <v>-435798732</v>
      </c>
      <c r="AN30" s="364">
        <v>-688374013</v>
      </c>
      <c r="AO30" s="279"/>
      <c r="AP30" s="97"/>
      <c r="AQ30" s="98"/>
      <c r="AR30" s="83">
        <f t="shared" si="4"/>
        <v>-252575281</v>
      </c>
      <c r="AS30" s="353">
        <f t="shared" si="2"/>
        <v>1.5795686459225402</v>
      </c>
    </row>
    <row r="31" spans="1:45" ht="14.85" customHeight="1">
      <c r="A31" s="1486"/>
      <c r="B31" s="1604" t="s">
        <v>1029</v>
      </c>
      <c r="C31" s="1576"/>
      <c r="D31" s="2066"/>
      <c r="E31" s="2066"/>
      <c r="F31" s="1577"/>
      <c r="G31" s="2066"/>
      <c r="H31" s="2066"/>
      <c r="I31" s="1606">
        <f>IF(AD31=0,"-",ROUNDDOWN(AD31,-6)/1000000)</f>
        <v>186831</v>
      </c>
      <c r="J31" s="1606">
        <f t="shared" ref="J31:Q34" si="19">IF(AE31=0,"-",ROUNDDOWN(AE31,-6)/1000000)</f>
        <v>197374</v>
      </c>
      <c r="K31" s="1606">
        <f t="shared" si="19"/>
        <v>222292</v>
      </c>
      <c r="L31" s="1606">
        <f t="shared" si="19"/>
        <v>232703</v>
      </c>
      <c r="M31" s="1606">
        <f t="shared" si="19"/>
        <v>219133</v>
      </c>
      <c r="N31" s="1606">
        <f t="shared" si="19"/>
        <v>210699</v>
      </c>
      <c r="O31" s="1606">
        <f t="shared" si="19"/>
        <v>229354</v>
      </c>
      <c r="P31" s="1606">
        <f t="shared" si="19"/>
        <v>242352</v>
      </c>
      <c r="Q31" s="1606">
        <f t="shared" si="19"/>
        <v>271557</v>
      </c>
      <c r="R31" s="1606">
        <f t="shared" ref="R31:S34" si="20">IF(AM31=0,"-",ROUNDDOWN(AM31,-6)/1000000)</f>
        <v>267348</v>
      </c>
      <c r="S31" s="1606">
        <f t="shared" si="20"/>
        <v>270130</v>
      </c>
      <c r="T31" s="1607">
        <f>AO31</f>
        <v>1.0408200289036884</v>
      </c>
      <c r="U31" s="1607">
        <f>AP31</f>
        <v>3.7557724083346677</v>
      </c>
      <c r="V31" s="1508"/>
      <c r="X31" s="99"/>
      <c r="Z31" s="384" t="s">
        <v>199</v>
      </c>
      <c r="AA31" s="371"/>
      <c r="AB31" s="385"/>
      <c r="AC31" s="385"/>
      <c r="AD31" s="275">
        <v>186831979383</v>
      </c>
      <c r="AE31" s="275">
        <v>197374321528</v>
      </c>
      <c r="AF31" s="275">
        <v>222292130074</v>
      </c>
      <c r="AG31" s="275">
        <v>232703279558</v>
      </c>
      <c r="AH31" s="275">
        <v>219133950053</v>
      </c>
      <c r="AI31" s="275">
        <v>210699916361</v>
      </c>
      <c r="AJ31" s="375">
        <v>229354111687</v>
      </c>
      <c r="AK31" s="375">
        <v>242352627154</v>
      </c>
      <c r="AL31" s="346">
        <v>271557090458</v>
      </c>
      <c r="AM31" s="277">
        <v>267348056410</v>
      </c>
      <c r="AN31" s="278">
        <v>270130668528</v>
      </c>
      <c r="AO31" s="279">
        <f>IF(OR(AM31&lt;0,AN31&lt;0),"-",(AN31/AM31-1)*100)</f>
        <v>1.0408200289036884</v>
      </c>
      <c r="AP31" s="97">
        <f>IF(ISERROR(((AN31/AD31)^(1/10)-1)*100),"-",((AN31/AD31)^(1/10)-1)*100)</f>
        <v>3.7557724083346677</v>
      </c>
      <c r="AQ31" s="98"/>
      <c r="AR31" s="83">
        <f t="shared" si="4"/>
        <v>2782612118</v>
      </c>
      <c r="AS31" s="353">
        <f t="shared" si="2"/>
        <v>1.0104082002890369</v>
      </c>
    </row>
    <row r="32" spans="1:45" ht="14.85" customHeight="1">
      <c r="A32" s="1486"/>
      <c r="B32" s="1588" t="s">
        <v>1030</v>
      </c>
      <c r="C32" s="1547" t="s">
        <v>1006</v>
      </c>
      <c r="D32" s="1486"/>
      <c r="E32" s="1489"/>
      <c r="F32" s="1486"/>
      <c r="G32" s="1486"/>
      <c r="H32" s="1489"/>
      <c r="I32" s="1596">
        <f>IF(AD32=0,"-",ROUNDDOWN(AD32,-6)/1000000)</f>
        <v>25937</v>
      </c>
      <c r="J32" s="1596">
        <f t="shared" si="19"/>
        <v>28801</v>
      </c>
      <c r="K32" s="1596">
        <f t="shared" si="19"/>
        <v>37373</v>
      </c>
      <c r="L32" s="1596">
        <f t="shared" si="19"/>
        <v>38077</v>
      </c>
      <c r="M32" s="1596">
        <f t="shared" si="19"/>
        <v>24497</v>
      </c>
      <c r="N32" s="1596">
        <f t="shared" si="19"/>
        <v>26922</v>
      </c>
      <c r="O32" s="1596">
        <f t="shared" si="19"/>
        <v>37884</v>
      </c>
      <c r="P32" s="1596">
        <f t="shared" si="19"/>
        <v>39273</v>
      </c>
      <c r="Q32" s="1596">
        <f t="shared" si="19"/>
        <v>63130</v>
      </c>
      <c r="R32" s="1596">
        <f t="shared" si="20"/>
        <v>51151</v>
      </c>
      <c r="S32" s="1596">
        <f t="shared" si="20"/>
        <v>52169</v>
      </c>
      <c r="T32" s="1597">
        <f>AO32</f>
        <v>1.9917631350340192</v>
      </c>
      <c r="U32" s="1597">
        <f>AP32</f>
        <v>7.23804489774309</v>
      </c>
      <c r="V32" s="1508"/>
      <c r="Z32" s="386" t="s">
        <v>192</v>
      </c>
      <c r="AA32" s="280" t="s">
        <v>29</v>
      </c>
      <c r="AB32" s="345"/>
      <c r="AC32" s="348"/>
      <c r="AD32" s="283">
        <v>25937690445</v>
      </c>
      <c r="AE32" s="283">
        <v>28801066259</v>
      </c>
      <c r="AF32" s="283">
        <v>37373233549</v>
      </c>
      <c r="AG32" s="283">
        <v>38077448468</v>
      </c>
      <c r="AH32" s="283">
        <v>24497140720</v>
      </c>
      <c r="AI32" s="283">
        <v>26922278363</v>
      </c>
      <c r="AJ32" s="372">
        <v>37884145064</v>
      </c>
      <c r="AK32" s="372">
        <v>39273464104</v>
      </c>
      <c r="AL32" s="373">
        <v>63130568294</v>
      </c>
      <c r="AM32" s="285">
        <v>51151111951</v>
      </c>
      <c r="AN32" s="286">
        <v>52169920942</v>
      </c>
      <c r="AO32" s="287">
        <f>IF(OR(AM32&lt;0,AN32&lt;0),"-",(AN32/AM32-1)*100)</f>
        <v>1.9917631350340192</v>
      </c>
      <c r="AP32" s="127">
        <f>IF(ISERROR(((AN32/AD32)^(1/10)-1)*100),"-",((AN32/AD32)^(1/10)-1)*100)</f>
        <v>7.23804489774309</v>
      </c>
      <c r="AQ32" s="98"/>
      <c r="AR32" s="83">
        <f t="shared" si="4"/>
        <v>1018808991</v>
      </c>
      <c r="AS32" s="353">
        <f t="shared" si="2"/>
        <v>1.0199176313503402</v>
      </c>
    </row>
    <row r="33" spans="1:45" ht="14.85" customHeight="1">
      <c r="A33" s="1486"/>
      <c r="B33" s="1589" t="s">
        <v>64</v>
      </c>
      <c r="C33" s="1547"/>
      <c r="D33" s="1548"/>
      <c r="E33" s="1549" t="s">
        <v>1007</v>
      </c>
      <c r="F33" s="1550"/>
      <c r="G33" s="1550"/>
      <c r="H33" s="1551"/>
      <c r="I33" s="1592">
        <f>IF(AD33=0,"-",ROUNDDOWN(AD33,-6)/1000000)</f>
        <v>13288</v>
      </c>
      <c r="J33" s="1592">
        <f t="shared" si="19"/>
        <v>15051</v>
      </c>
      <c r="K33" s="1592">
        <f t="shared" si="19"/>
        <v>22339</v>
      </c>
      <c r="L33" s="1592">
        <f t="shared" si="19"/>
        <v>22209</v>
      </c>
      <c r="M33" s="1592">
        <f t="shared" si="19"/>
        <v>8721</v>
      </c>
      <c r="N33" s="1592">
        <f t="shared" si="19"/>
        <v>11788</v>
      </c>
      <c r="O33" s="1592">
        <f t="shared" si="19"/>
        <v>21213</v>
      </c>
      <c r="P33" s="1592">
        <f t="shared" si="19"/>
        <v>22595</v>
      </c>
      <c r="Q33" s="1592">
        <f t="shared" si="19"/>
        <v>43749</v>
      </c>
      <c r="R33" s="1592">
        <f t="shared" si="20"/>
        <v>30005</v>
      </c>
      <c r="S33" s="1592">
        <f t="shared" si="20"/>
        <v>27992</v>
      </c>
      <c r="T33" s="1593"/>
      <c r="U33" s="1593"/>
      <c r="V33" s="1508"/>
      <c r="X33" s="99">
        <f>S33/R33</f>
        <v>0.93291118146975505</v>
      </c>
      <c r="Z33" s="280" t="s">
        <v>64</v>
      </c>
      <c r="AA33" s="374"/>
      <c r="AB33" s="293"/>
      <c r="AC33" s="4" t="s">
        <v>186</v>
      </c>
      <c r="AD33" s="281">
        <v>13288442003</v>
      </c>
      <c r="AE33" s="281">
        <v>15051949405</v>
      </c>
      <c r="AF33" s="281">
        <v>22339802874</v>
      </c>
      <c r="AG33" s="281">
        <v>22209595425</v>
      </c>
      <c r="AH33" s="281">
        <v>8721037580</v>
      </c>
      <c r="AI33" s="281">
        <v>11788919036</v>
      </c>
      <c r="AJ33" s="354">
        <v>21213930423</v>
      </c>
      <c r="AK33" s="354">
        <v>22595439817</v>
      </c>
      <c r="AL33" s="344">
        <v>43749947849</v>
      </c>
      <c r="AM33" s="355">
        <v>30005431663</v>
      </c>
      <c r="AN33" s="356">
        <v>27992493430</v>
      </c>
      <c r="AO33" s="296"/>
      <c r="AP33" s="105"/>
      <c r="AQ33" s="98"/>
      <c r="AR33" s="83">
        <f t="shared" si="4"/>
        <v>-2012938233</v>
      </c>
      <c r="AS33" s="353">
        <f t="shared" si="2"/>
        <v>0.93291420514765755</v>
      </c>
    </row>
    <row r="34" spans="1:45" ht="14.85" customHeight="1">
      <c r="A34" s="1486"/>
      <c r="B34" s="1608"/>
      <c r="C34" s="1486"/>
      <c r="D34" s="1552"/>
      <c r="E34" s="1553" t="s">
        <v>1008</v>
      </c>
      <c r="F34" s="1554"/>
      <c r="G34" s="1554"/>
      <c r="H34" s="1555"/>
      <c r="I34" s="1594">
        <f>IF(AD34=0,"-",ROUNDDOWN(AD34,-6)/1000000)</f>
        <v>121</v>
      </c>
      <c r="J34" s="1594">
        <f t="shared" si="19"/>
        <v>250</v>
      </c>
      <c r="K34" s="1594">
        <f t="shared" si="19"/>
        <v>220</v>
      </c>
      <c r="L34" s="1594">
        <f t="shared" si="19"/>
        <v>397</v>
      </c>
      <c r="M34" s="1594">
        <f t="shared" si="19"/>
        <v>520</v>
      </c>
      <c r="N34" s="1594">
        <f t="shared" si="19"/>
        <v>220</v>
      </c>
      <c r="O34" s="1594">
        <f t="shared" si="19"/>
        <v>406</v>
      </c>
      <c r="P34" s="1594">
        <f t="shared" si="19"/>
        <v>560</v>
      </c>
      <c r="Q34" s="1594">
        <f t="shared" si="19"/>
        <v>370</v>
      </c>
      <c r="R34" s="1594">
        <f t="shared" si="20"/>
        <v>560</v>
      </c>
      <c r="S34" s="1594">
        <f t="shared" si="20"/>
        <v>2017</v>
      </c>
      <c r="T34" s="1595"/>
      <c r="U34" s="1595"/>
      <c r="V34" s="1508"/>
      <c r="X34" s="99">
        <f>S34/R34</f>
        <v>3.6017857142857141</v>
      </c>
      <c r="Z34" s="374"/>
      <c r="AA34" s="5"/>
      <c r="AB34" s="280"/>
      <c r="AC34" s="4" t="s">
        <v>17</v>
      </c>
      <c r="AD34" s="281">
        <v>121078000</v>
      </c>
      <c r="AE34" s="281">
        <v>250000000</v>
      </c>
      <c r="AF34" s="281">
        <v>220000000</v>
      </c>
      <c r="AG34" s="281">
        <v>397130000</v>
      </c>
      <c r="AH34" s="281">
        <v>520000000</v>
      </c>
      <c r="AI34" s="281">
        <v>220000000</v>
      </c>
      <c r="AJ34" s="354">
        <v>406800000</v>
      </c>
      <c r="AK34" s="354">
        <v>560000000</v>
      </c>
      <c r="AL34" s="344">
        <v>370000000</v>
      </c>
      <c r="AM34" s="355">
        <v>560000000</v>
      </c>
      <c r="AN34" s="356">
        <v>2017500000</v>
      </c>
      <c r="AO34" s="357"/>
      <c r="AP34" s="358"/>
      <c r="AQ34" s="98"/>
      <c r="AR34" s="83">
        <f t="shared" si="4"/>
        <v>1457500000</v>
      </c>
      <c r="AS34" s="353">
        <f t="shared" si="2"/>
        <v>3.6026785714285716</v>
      </c>
    </row>
    <row r="35" spans="1:45" ht="14.85" customHeight="1">
      <c r="A35" s="1486"/>
      <c r="B35" s="1608"/>
      <c r="C35" s="1486"/>
      <c r="D35" s="1552"/>
      <c r="E35" s="1489" t="s">
        <v>1009</v>
      </c>
      <c r="F35" s="1486"/>
      <c r="G35" s="1486"/>
      <c r="H35" s="1556"/>
      <c r="I35" s="1596">
        <f t="shared" ref="I35:S36" si="21">IF(AD35=0,"-",ROUNDDOWN(AD35,-6)/1000000)</f>
        <v>5409</v>
      </c>
      <c r="J35" s="1596">
        <f t="shared" si="21"/>
        <v>5108</v>
      </c>
      <c r="K35" s="1596">
        <f t="shared" si="21"/>
        <v>6954</v>
      </c>
      <c r="L35" s="1596">
        <f t="shared" si="21"/>
        <v>6783</v>
      </c>
      <c r="M35" s="1596">
        <f t="shared" si="21"/>
        <v>5623</v>
      </c>
      <c r="N35" s="1596">
        <f t="shared" si="21"/>
        <v>7408</v>
      </c>
      <c r="O35" s="1596">
        <f t="shared" si="21"/>
        <v>7578</v>
      </c>
      <c r="P35" s="1596">
        <f t="shared" si="21"/>
        <v>7864</v>
      </c>
      <c r="Q35" s="1596">
        <f t="shared" si="21"/>
        <v>9128</v>
      </c>
      <c r="R35" s="1596">
        <f t="shared" si="21"/>
        <v>10215</v>
      </c>
      <c r="S35" s="1596">
        <f t="shared" si="21"/>
        <v>10912</v>
      </c>
      <c r="T35" s="1597"/>
      <c r="U35" s="1597"/>
      <c r="V35" s="1508"/>
      <c r="X35" s="99">
        <f>S35/R35</f>
        <v>1.068232990699951</v>
      </c>
      <c r="Z35" s="374"/>
      <c r="AA35" s="5"/>
      <c r="AB35" s="280"/>
      <c r="AC35" s="4" t="s">
        <v>200</v>
      </c>
      <c r="AD35" s="281">
        <v>5409483000</v>
      </c>
      <c r="AE35" s="281">
        <v>5108800000</v>
      </c>
      <c r="AF35" s="281">
        <v>6954561569</v>
      </c>
      <c r="AG35" s="281">
        <v>6783965000</v>
      </c>
      <c r="AH35" s="281">
        <v>5623080000</v>
      </c>
      <c r="AI35" s="281">
        <v>7408510000</v>
      </c>
      <c r="AJ35" s="354">
        <v>7578480000</v>
      </c>
      <c r="AK35" s="354">
        <v>7864811300</v>
      </c>
      <c r="AL35" s="344">
        <v>9128317900</v>
      </c>
      <c r="AM35" s="355">
        <v>10215658100</v>
      </c>
      <c r="AN35" s="356">
        <v>10912158000</v>
      </c>
      <c r="AO35" s="357"/>
      <c r="AP35" s="358"/>
      <c r="AQ35" s="98"/>
      <c r="AR35" s="83">
        <f t="shared" si="4"/>
        <v>696499900</v>
      </c>
      <c r="AS35" s="353">
        <f t="shared" si="2"/>
        <v>1.0681796408202033</v>
      </c>
    </row>
    <row r="36" spans="1:45" ht="14.85" hidden="1" customHeight="1" outlineLevel="1">
      <c r="A36" s="1486"/>
      <c r="B36" s="1608"/>
      <c r="C36" s="1486"/>
      <c r="D36" s="1552"/>
      <c r="E36" s="1553" t="s">
        <v>1010</v>
      </c>
      <c r="F36" s="1554"/>
      <c r="G36" s="1554"/>
      <c r="H36" s="1555"/>
      <c r="I36" s="1594">
        <f t="shared" si="21"/>
        <v>2207</v>
      </c>
      <c r="J36" s="1594">
        <f t="shared" si="21"/>
        <v>1974</v>
      </c>
      <c r="K36" s="1594">
        <f t="shared" si="21"/>
        <v>2610</v>
      </c>
      <c r="L36" s="1594">
        <f t="shared" si="21"/>
        <v>2223</v>
      </c>
      <c r="M36" s="1594">
        <f t="shared" si="21"/>
        <v>1771</v>
      </c>
      <c r="N36" s="1594">
        <f t="shared" si="21"/>
        <v>1893</v>
      </c>
      <c r="O36" s="1594">
        <f t="shared" si="21"/>
        <v>2054</v>
      </c>
      <c r="P36" s="1594">
        <f t="shared" si="21"/>
        <v>2099</v>
      </c>
      <c r="Q36" s="1594">
        <f t="shared" si="21"/>
        <v>2569</v>
      </c>
      <c r="R36" s="1594">
        <f t="shared" si="21"/>
        <v>2496</v>
      </c>
      <c r="S36" s="1594">
        <f t="shared" si="21"/>
        <v>2594</v>
      </c>
      <c r="T36" s="1595"/>
      <c r="U36" s="1595"/>
      <c r="V36" s="1508"/>
      <c r="X36" s="99">
        <f>S36/R36</f>
        <v>1.0392628205128205</v>
      </c>
      <c r="Z36" s="374"/>
      <c r="AA36" s="5"/>
      <c r="AB36" s="280"/>
      <c r="AC36" s="4" t="s">
        <v>175</v>
      </c>
      <c r="AD36" s="281">
        <v>2207357340</v>
      </c>
      <c r="AE36" s="281">
        <v>1974014756</v>
      </c>
      <c r="AF36" s="281">
        <v>2610851781</v>
      </c>
      <c r="AG36" s="281">
        <v>2223712334</v>
      </c>
      <c r="AH36" s="281">
        <v>1771888906</v>
      </c>
      <c r="AI36" s="281">
        <v>1893865977</v>
      </c>
      <c r="AJ36" s="354">
        <v>2054193291</v>
      </c>
      <c r="AK36" s="354">
        <v>2099421896</v>
      </c>
      <c r="AL36" s="344">
        <v>2569653812</v>
      </c>
      <c r="AM36" s="355">
        <v>2496476611</v>
      </c>
      <c r="AN36" s="356">
        <v>2594646583</v>
      </c>
      <c r="AO36" s="357"/>
      <c r="AP36" s="358"/>
      <c r="AQ36" s="98"/>
      <c r="AR36" s="83">
        <f t="shared" si="4"/>
        <v>98169972</v>
      </c>
      <c r="AS36" s="353">
        <f t="shared" si="2"/>
        <v>1.0393234094673438</v>
      </c>
    </row>
    <row r="37" spans="1:45" ht="14.85" customHeight="1" collapsed="1">
      <c r="A37" s="1486"/>
      <c r="B37" s="1608"/>
      <c r="C37" s="1486"/>
      <c r="D37" s="1558"/>
      <c r="E37" s="1559" t="s">
        <v>1011</v>
      </c>
      <c r="F37" s="1560"/>
      <c r="G37" s="1560"/>
      <c r="H37" s="1561"/>
      <c r="I37" s="1598">
        <f>IF(AD82=0,"-",ROUNDDOWN(AD82,-6)/1000000)</f>
        <v>7118</v>
      </c>
      <c r="J37" s="1598">
        <f t="shared" ref="J37:S37" si="22">IF(AE82=0,"-",ROUNDDOWN(AE82,-6)/1000000)</f>
        <v>8390</v>
      </c>
      <c r="K37" s="1598">
        <f t="shared" si="22"/>
        <v>7858</v>
      </c>
      <c r="L37" s="1598">
        <f t="shared" si="22"/>
        <v>8686</v>
      </c>
      <c r="M37" s="1598">
        <f t="shared" si="22"/>
        <v>9633</v>
      </c>
      <c r="N37" s="1598">
        <f t="shared" si="22"/>
        <v>7504</v>
      </c>
      <c r="O37" s="1598">
        <f t="shared" si="22"/>
        <v>8684</v>
      </c>
      <c r="P37" s="1598">
        <f t="shared" si="22"/>
        <v>8253</v>
      </c>
      <c r="Q37" s="1598">
        <f t="shared" si="22"/>
        <v>9882</v>
      </c>
      <c r="R37" s="1598">
        <f t="shared" si="22"/>
        <v>10370</v>
      </c>
      <c r="S37" s="1598">
        <f t="shared" si="22"/>
        <v>11247</v>
      </c>
      <c r="T37" s="1599"/>
      <c r="U37" s="1599"/>
      <c r="V37" s="1508"/>
      <c r="X37" s="99">
        <f>S37/R37</f>
        <v>1.0845708775313405</v>
      </c>
      <c r="Z37" s="374"/>
      <c r="AA37" s="5"/>
      <c r="AB37" s="274"/>
      <c r="AC37" s="4" t="s">
        <v>18</v>
      </c>
      <c r="AD37" s="281">
        <v>4911330102</v>
      </c>
      <c r="AE37" s="281">
        <v>6416302098</v>
      </c>
      <c r="AF37" s="281">
        <v>5248017325</v>
      </c>
      <c r="AG37" s="281">
        <v>6463045709</v>
      </c>
      <c r="AH37" s="281">
        <v>7861134234</v>
      </c>
      <c r="AI37" s="281">
        <v>5610983350</v>
      </c>
      <c r="AJ37" s="354">
        <v>6630741350</v>
      </c>
      <c r="AK37" s="354">
        <v>6153791091</v>
      </c>
      <c r="AL37" s="344">
        <v>7312648733</v>
      </c>
      <c r="AM37" s="355">
        <v>7873545577</v>
      </c>
      <c r="AN37" s="356">
        <v>8653122929</v>
      </c>
      <c r="AO37" s="357"/>
      <c r="AP37" s="358"/>
      <c r="AQ37" s="98"/>
      <c r="AR37" s="83">
        <f t="shared" si="4"/>
        <v>779577352</v>
      </c>
      <c r="AS37" s="353">
        <f t="shared" si="2"/>
        <v>1.0990122358950054</v>
      </c>
    </row>
    <row r="38" spans="1:45" ht="14.85" customHeight="1">
      <c r="A38" s="1486"/>
      <c r="B38" s="1608"/>
      <c r="C38" s="1580" t="s">
        <v>1012</v>
      </c>
      <c r="D38" s="1581"/>
      <c r="E38" s="1582"/>
      <c r="F38" s="1581"/>
      <c r="G38" s="1581"/>
      <c r="H38" s="1582"/>
      <c r="I38" s="1590">
        <f t="shared" ref="I38:Q39" si="23">IF(AD38=0,"-",ROUNDDOWN(AD38,-6)/1000000)</f>
        <v>5710</v>
      </c>
      <c r="J38" s="1590">
        <f t="shared" si="23"/>
        <v>9375</v>
      </c>
      <c r="K38" s="1590">
        <f t="shared" si="23"/>
        <v>12728</v>
      </c>
      <c r="L38" s="1590">
        <f t="shared" si="23"/>
        <v>11090</v>
      </c>
      <c r="M38" s="1590">
        <f t="shared" si="23"/>
        <v>10656</v>
      </c>
      <c r="N38" s="1590">
        <f t="shared" si="23"/>
        <v>10253</v>
      </c>
      <c r="O38" s="1590">
        <f t="shared" si="23"/>
        <v>8996</v>
      </c>
      <c r="P38" s="1590">
        <f t="shared" si="23"/>
        <v>8925</v>
      </c>
      <c r="Q38" s="1590">
        <f t="shared" si="23"/>
        <v>9404</v>
      </c>
      <c r="R38" s="1590">
        <f>IF(AM38=0,"-",ROUNDDOWN(AM38,-6)/1000000)</f>
        <v>8842</v>
      </c>
      <c r="S38" s="1590">
        <f>IF(AN38=0,"-",ROUNDDOWN(AN38,-6)/1000000)</f>
        <v>6993</v>
      </c>
      <c r="T38" s="1591">
        <f>AO38</f>
        <v>-20.907224980092533</v>
      </c>
      <c r="U38" s="1591">
        <f>AP38</f>
        <v>2.048250380887584</v>
      </c>
      <c r="V38" s="1508"/>
      <c r="Z38" s="374"/>
      <c r="AA38" s="387" t="s">
        <v>201</v>
      </c>
      <c r="AB38" s="370"/>
      <c r="AC38" s="371"/>
      <c r="AD38" s="283">
        <v>5710309230</v>
      </c>
      <c r="AE38" s="283">
        <v>9375744850</v>
      </c>
      <c r="AF38" s="283">
        <v>12728822312</v>
      </c>
      <c r="AG38" s="283">
        <v>11090771010</v>
      </c>
      <c r="AH38" s="283">
        <v>10656167125</v>
      </c>
      <c r="AI38" s="283">
        <v>10253493656</v>
      </c>
      <c r="AJ38" s="372">
        <v>8996084783</v>
      </c>
      <c r="AK38" s="372">
        <v>8925085532</v>
      </c>
      <c r="AL38" s="373">
        <v>9404818190</v>
      </c>
      <c r="AM38" s="285">
        <v>8842568752</v>
      </c>
      <c r="AN38" s="286">
        <v>6993833009</v>
      </c>
      <c r="AO38" s="287">
        <f>IF(OR(AM38&lt;0,AN38&lt;0),"-",(AN38/AM38-1)*100)</f>
        <v>-20.907224980092533</v>
      </c>
      <c r="AP38" s="127">
        <f>IF(ISERROR(((AN38/AD38)^(1/10)-1)*100),"-",((AN38/AD38)^(1/10)-1)*100)</f>
        <v>2.048250380887584</v>
      </c>
      <c r="AQ38" s="98"/>
      <c r="AR38" s="83">
        <f t="shared" si="4"/>
        <v>-1848735743</v>
      </c>
      <c r="AS38" s="353">
        <f t="shared" si="2"/>
        <v>0.79092775019907469</v>
      </c>
    </row>
    <row r="39" spans="1:45" ht="14.85" customHeight="1">
      <c r="A39" s="1486"/>
      <c r="B39" s="1608"/>
      <c r="C39" s="1547"/>
      <c r="D39" s="1548"/>
      <c r="E39" s="1550" t="s">
        <v>1013</v>
      </c>
      <c r="F39" s="1550"/>
      <c r="G39" s="1550"/>
      <c r="H39" s="1551"/>
      <c r="I39" s="1592">
        <f t="shared" si="23"/>
        <v>21</v>
      </c>
      <c r="J39" s="1592">
        <f t="shared" si="23"/>
        <v>3820</v>
      </c>
      <c r="K39" s="1592">
        <f t="shared" si="23"/>
        <v>3330</v>
      </c>
      <c r="L39" s="1592">
        <f t="shared" si="23"/>
        <v>2640</v>
      </c>
      <c r="M39" s="1592">
        <f t="shared" si="23"/>
        <v>2420</v>
      </c>
      <c r="N39" s="1592">
        <f t="shared" si="23"/>
        <v>2911</v>
      </c>
      <c r="O39" s="1592">
        <f t="shared" si="23"/>
        <v>2356</v>
      </c>
      <c r="P39" s="1592">
        <f t="shared" si="23"/>
        <v>1794</v>
      </c>
      <c r="Q39" s="1592">
        <f t="shared" si="23"/>
        <v>2215</v>
      </c>
      <c r="R39" s="1592">
        <f>IF(AM39=0,"-",ROUNDDOWN(AM39,-6)/1000000)</f>
        <v>1617</v>
      </c>
      <c r="S39" s="1592" t="str">
        <f>IF(AN39=0,"-",ROUNDDOWN(AN39,-6)/1000000)</f>
        <v>-</v>
      </c>
      <c r="T39" s="1593"/>
      <c r="U39" s="1593"/>
      <c r="V39" s="1508"/>
      <c r="X39" s="99" t="e">
        <f>S39/R39</f>
        <v>#VALUE!</v>
      </c>
      <c r="Z39" s="374"/>
      <c r="AA39" s="374"/>
      <c r="AB39" s="5"/>
      <c r="AC39" s="5" t="s">
        <v>19</v>
      </c>
      <c r="AD39" s="281">
        <v>21460000</v>
      </c>
      <c r="AE39" s="281">
        <v>3820000000</v>
      </c>
      <c r="AF39" s="281">
        <v>3330040000</v>
      </c>
      <c r="AG39" s="281">
        <v>2640000000</v>
      </c>
      <c r="AH39" s="281">
        <v>2420000000</v>
      </c>
      <c r="AI39" s="281">
        <v>2911400000</v>
      </c>
      <c r="AJ39" s="354">
        <v>2356740000</v>
      </c>
      <c r="AK39" s="354">
        <v>1794220000</v>
      </c>
      <c r="AL39" s="344">
        <v>2215030000</v>
      </c>
      <c r="AM39" s="355">
        <v>1617860000</v>
      </c>
      <c r="AN39" s="356">
        <v>0</v>
      </c>
      <c r="AO39" s="296"/>
      <c r="AP39" s="105"/>
      <c r="AQ39" s="98"/>
      <c r="AR39" s="83">
        <f t="shared" ref="AR39:AR57" si="24">AN39-AM39</f>
        <v>-1617860000</v>
      </c>
      <c r="AS39" s="353">
        <f t="shared" ref="AS39:AS57" si="25">AN39/AM39</f>
        <v>0</v>
      </c>
    </row>
    <row r="40" spans="1:45" ht="14.85" customHeight="1">
      <c r="A40" s="1486"/>
      <c r="B40" s="1608"/>
      <c r="C40" s="1547"/>
      <c r="D40" s="1552"/>
      <c r="E40" s="1554" t="s">
        <v>1014</v>
      </c>
      <c r="F40" s="1554"/>
      <c r="G40" s="1554"/>
      <c r="H40" s="1555"/>
      <c r="I40" s="1594">
        <f t="shared" ref="I40:S42" si="26">IF(AD40=0,"-",ROUNDDOWN(AD40,-6)/1000000)</f>
        <v>253</v>
      </c>
      <c r="J40" s="1594">
        <f t="shared" si="26"/>
        <v>368</v>
      </c>
      <c r="K40" s="1594">
        <f t="shared" si="26"/>
        <v>695</v>
      </c>
      <c r="L40" s="1594">
        <f t="shared" si="26"/>
        <v>771</v>
      </c>
      <c r="M40" s="1594">
        <f t="shared" si="26"/>
        <v>834</v>
      </c>
      <c r="N40" s="1594">
        <f t="shared" si="26"/>
        <v>776</v>
      </c>
      <c r="O40" s="1594">
        <f t="shared" si="26"/>
        <v>872</v>
      </c>
      <c r="P40" s="1594">
        <f t="shared" si="26"/>
        <v>927</v>
      </c>
      <c r="Q40" s="1594">
        <f t="shared" si="26"/>
        <v>974</v>
      </c>
      <c r="R40" s="1594">
        <f t="shared" si="26"/>
        <v>1007</v>
      </c>
      <c r="S40" s="1594">
        <f t="shared" si="26"/>
        <v>1009</v>
      </c>
      <c r="T40" s="1595"/>
      <c r="U40" s="1595"/>
      <c r="V40" s="1508"/>
      <c r="X40" s="99">
        <f>S40/R40</f>
        <v>1.0019860973187686</v>
      </c>
      <c r="Z40" s="374"/>
      <c r="AA40" s="374"/>
      <c r="AB40" s="5"/>
      <c r="AC40" s="5" t="s">
        <v>25</v>
      </c>
      <c r="AD40" s="281">
        <v>253481745</v>
      </c>
      <c r="AE40" s="281">
        <v>368318451</v>
      </c>
      <c r="AF40" s="281">
        <v>695007167</v>
      </c>
      <c r="AG40" s="281">
        <v>771736607</v>
      </c>
      <c r="AH40" s="281">
        <v>834716050</v>
      </c>
      <c r="AI40" s="281">
        <v>776738391</v>
      </c>
      <c r="AJ40" s="354">
        <v>872562756</v>
      </c>
      <c r="AK40" s="354">
        <v>927849736</v>
      </c>
      <c r="AL40" s="344">
        <v>974845380</v>
      </c>
      <c r="AM40" s="355">
        <v>1007810930</v>
      </c>
      <c r="AN40" s="356">
        <v>1009575776</v>
      </c>
      <c r="AO40" s="357"/>
      <c r="AP40" s="358"/>
      <c r="AQ40" s="98"/>
      <c r="AR40" s="83">
        <f t="shared" si="24"/>
        <v>1764846</v>
      </c>
      <c r="AS40" s="353">
        <f t="shared" si="25"/>
        <v>1.0017511677512765</v>
      </c>
    </row>
    <row r="41" spans="1:45" ht="14.85" customHeight="1">
      <c r="A41" s="1486"/>
      <c r="B41" s="1608"/>
      <c r="C41" s="1547"/>
      <c r="D41" s="1552"/>
      <c r="E41" s="1489" t="s">
        <v>1015</v>
      </c>
      <c r="F41" s="1486"/>
      <c r="G41" s="1486"/>
      <c r="H41" s="1556"/>
      <c r="I41" s="1596" t="str">
        <f t="shared" ref="I41:S41" si="27">IF(AD41=0,"-",ROUNDDOWN(AD41,-6)/1000000)</f>
        <v>-</v>
      </c>
      <c r="J41" s="1596" t="str">
        <f t="shared" si="27"/>
        <v>-</v>
      </c>
      <c r="K41" s="1596">
        <f t="shared" si="27"/>
        <v>1827</v>
      </c>
      <c r="L41" s="1596">
        <f t="shared" si="27"/>
        <v>1752</v>
      </c>
      <c r="M41" s="1596">
        <f t="shared" si="27"/>
        <v>1655</v>
      </c>
      <c r="N41" s="1596">
        <f t="shared" si="27"/>
        <v>747</v>
      </c>
      <c r="O41" s="1596" t="str">
        <f t="shared" si="27"/>
        <v>-</v>
      </c>
      <c r="P41" s="1596" t="str">
        <f t="shared" si="27"/>
        <v>-</v>
      </c>
      <c r="Q41" s="1596" t="str">
        <f t="shared" si="27"/>
        <v>-</v>
      </c>
      <c r="R41" s="1596">
        <f t="shared" si="27"/>
        <v>8</v>
      </c>
      <c r="S41" s="1596" t="str">
        <f t="shared" si="27"/>
        <v>-</v>
      </c>
      <c r="T41" s="1597"/>
      <c r="U41" s="1597"/>
      <c r="V41" s="1508"/>
      <c r="X41" s="99" t="e">
        <f>S41/R41</f>
        <v>#VALUE!</v>
      </c>
      <c r="Z41" s="374"/>
      <c r="AA41" s="374"/>
      <c r="AB41" s="5"/>
      <c r="AC41" s="4" t="s">
        <v>420</v>
      </c>
      <c r="AD41" s="281"/>
      <c r="AE41" s="281"/>
      <c r="AF41" s="281">
        <v>1827550719</v>
      </c>
      <c r="AG41" s="281">
        <v>1752133109</v>
      </c>
      <c r="AH41" s="281">
        <v>1655730764</v>
      </c>
      <c r="AI41" s="281">
        <v>747204282</v>
      </c>
      <c r="AJ41" s="354">
        <v>0</v>
      </c>
      <c r="AK41" s="354">
        <v>0</v>
      </c>
      <c r="AL41" s="344">
        <v>0</v>
      </c>
      <c r="AM41" s="355">
        <v>8324000</v>
      </c>
      <c r="AN41" s="356">
        <v>0</v>
      </c>
      <c r="AO41" s="357"/>
      <c r="AP41" s="358"/>
      <c r="AQ41" s="98"/>
      <c r="AR41" s="83">
        <f>AN41-AM41</f>
        <v>-8324000</v>
      </c>
      <c r="AS41" s="353">
        <f>AN41/AM41</f>
        <v>0</v>
      </c>
    </row>
    <row r="42" spans="1:45" ht="14.85" customHeight="1">
      <c r="A42" s="1486"/>
      <c r="B42" s="1608"/>
      <c r="C42" s="1547"/>
      <c r="D42" s="1552"/>
      <c r="E42" s="1553" t="s">
        <v>1016</v>
      </c>
      <c r="F42" s="1554"/>
      <c r="G42" s="1554"/>
      <c r="H42" s="1555"/>
      <c r="I42" s="1594">
        <f t="shared" si="26"/>
        <v>4601</v>
      </c>
      <c r="J42" s="1594">
        <f t="shared" si="26"/>
        <v>4634</v>
      </c>
      <c r="K42" s="1594">
        <f t="shared" si="26"/>
        <v>6065</v>
      </c>
      <c r="L42" s="1594">
        <f t="shared" si="26"/>
        <v>5096</v>
      </c>
      <c r="M42" s="1594">
        <f t="shared" si="26"/>
        <v>4907</v>
      </c>
      <c r="N42" s="1594">
        <f t="shared" si="26"/>
        <v>4886</v>
      </c>
      <c r="O42" s="1594">
        <f t="shared" si="26"/>
        <v>4869</v>
      </c>
      <c r="P42" s="1594">
        <f t="shared" si="26"/>
        <v>4916</v>
      </c>
      <c r="Q42" s="1594">
        <f t="shared" si="26"/>
        <v>4893</v>
      </c>
      <c r="R42" s="1594">
        <f t="shared" si="26"/>
        <v>4908</v>
      </c>
      <c r="S42" s="1594">
        <f t="shared" si="26"/>
        <v>5029</v>
      </c>
      <c r="T42" s="1595"/>
      <c r="U42" s="1595"/>
      <c r="V42" s="1508"/>
      <c r="X42" s="99">
        <f>S42/R42</f>
        <v>1.0246536267318664</v>
      </c>
      <c r="Z42" s="374"/>
      <c r="AA42" s="374"/>
      <c r="AB42" s="5"/>
      <c r="AC42" s="4" t="s">
        <v>202</v>
      </c>
      <c r="AD42" s="281">
        <v>4601819779</v>
      </c>
      <c r="AE42" s="281">
        <v>4634029782</v>
      </c>
      <c r="AF42" s="281">
        <v>6065398120</v>
      </c>
      <c r="AG42" s="281">
        <v>5096120619</v>
      </c>
      <c r="AH42" s="281">
        <v>4907893026</v>
      </c>
      <c r="AI42" s="281">
        <v>4886011104</v>
      </c>
      <c r="AJ42" s="354">
        <v>4869401525</v>
      </c>
      <c r="AK42" s="354">
        <v>4916000141</v>
      </c>
      <c r="AL42" s="344">
        <v>4893970869</v>
      </c>
      <c r="AM42" s="355">
        <v>4908560595</v>
      </c>
      <c r="AN42" s="356">
        <v>5029635062</v>
      </c>
      <c r="AO42" s="357"/>
      <c r="AP42" s="358"/>
      <c r="AQ42" s="98"/>
      <c r="AR42" s="83">
        <f t="shared" si="24"/>
        <v>121074467</v>
      </c>
      <c r="AS42" s="353">
        <f t="shared" si="25"/>
        <v>1.0246659819425128</v>
      </c>
    </row>
    <row r="43" spans="1:45" ht="14.85" customHeight="1">
      <c r="A43" s="1486"/>
      <c r="B43" s="1608"/>
      <c r="C43" s="1557"/>
      <c r="D43" s="1558"/>
      <c r="E43" s="1577" t="s">
        <v>1011</v>
      </c>
      <c r="F43" s="1578"/>
      <c r="G43" s="1578"/>
      <c r="H43" s="1579"/>
      <c r="I43" s="1606">
        <f t="shared" ref="I43:Q47" si="28">IF(AD43=0,"-",ROUNDDOWN(AD43,-6)/1000000)</f>
        <v>833</v>
      </c>
      <c r="J43" s="1606">
        <f t="shared" si="28"/>
        <v>553</v>
      </c>
      <c r="K43" s="1606">
        <f t="shared" si="28"/>
        <v>810</v>
      </c>
      <c r="L43" s="1606">
        <f t="shared" si="28"/>
        <v>830</v>
      </c>
      <c r="M43" s="1606">
        <f t="shared" si="28"/>
        <v>837</v>
      </c>
      <c r="N43" s="1606">
        <f t="shared" si="28"/>
        <v>932</v>
      </c>
      <c r="O43" s="1606">
        <f t="shared" si="28"/>
        <v>897</v>
      </c>
      <c r="P43" s="1606">
        <f t="shared" si="28"/>
        <v>1287</v>
      </c>
      <c r="Q43" s="1606">
        <f t="shared" si="28"/>
        <v>1320</v>
      </c>
      <c r="R43" s="1606">
        <f t="shared" ref="R43:S47" si="29">IF(AM43=0,"-",ROUNDDOWN(AM43,-6)/1000000)</f>
        <v>1300</v>
      </c>
      <c r="S43" s="1606">
        <f t="shared" si="29"/>
        <v>954</v>
      </c>
      <c r="T43" s="1607"/>
      <c r="U43" s="1607"/>
      <c r="V43" s="1508"/>
      <c r="X43" s="99">
        <f>S43/R43</f>
        <v>0.73384615384615381</v>
      </c>
      <c r="Z43" s="359"/>
      <c r="AA43" s="359"/>
      <c r="AB43" s="5"/>
      <c r="AC43" s="4" t="s">
        <v>203</v>
      </c>
      <c r="AD43" s="275">
        <v>833547706</v>
      </c>
      <c r="AE43" s="275">
        <v>553396617</v>
      </c>
      <c r="AF43" s="275">
        <v>810826306</v>
      </c>
      <c r="AG43" s="275">
        <v>830780675</v>
      </c>
      <c r="AH43" s="275">
        <v>837827285</v>
      </c>
      <c r="AI43" s="275">
        <v>932139879</v>
      </c>
      <c r="AJ43" s="375">
        <v>897380502</v>
      </c>
      <c r="AK43" s="375">
        <v>1287015655</v>
      </c>
      <c r="AL43" s="346">
        <v>1320971941</v>
      </c>
      <c r="AM43" s="277">
        <v>1300013227</v>
      </c>
      <c r="AN43" s="278">
        <v>954622171</v>
      </c>
      <c r="AO43" s="279"/>
      <c r="AP43" s="97"/>
      <c r="AQ43" s="98"/>
      <c r="AR43" s="83">
        <f t="shared" si="24"/>
        <v>-345391056</v>
      </c>
      <c r="AS43" s="353">
        <f t="shared" si="25"/>
        <v>0.73431727552722814</v>
      </c>
    </row>
    <row r="44" spans="1:45" ht="14.85" customHeight="1">
      <c r="A44" s="1486"/>
      <c r="B44" s="1604" t="s">
        <v>1031</v>
      </c>
      <c r="C44" s="1576"/>
      <c r="D44" s="2067"/>
      <c r="E44" s="2067"/>
      <c r="F44" s="1583"/>
      <c r="G44" s="2068"/>
      <c r="H44" s="2067"/>
      <c r="I44" s="1609">
        <f t="shared" si="28"/>
        <v>31647</v>
      </c>
      <c r="J44" s="1609">
        <f t="shared" si="28"/>
        <v>38176</v>
      </c>
      <c r="K44" s="1609">
        <f t="shared" si="28"/>
        <v>50102</v>
      </c>
      <c r="L44" s="1609">
        <f t="shared" si="28"/>
        <v>49168</v>
      </c>
      <c r="M44" s="1609">
        <f t="shared" si="28"/>
        <v>35153</v>
      </c>
      <c r="N44" s="1609">
        <f t="shared" si="28"/>
        <v>37175</v>
      </c>
      <c r="O44" s="1609">
        <f t="shared" si="28"/>
        <v>46880</v>
      </c>
      <c r="P44" s="1609">
        <f t="shared" si="28"/>
        <v>48198</v>
      </c>
      <c r="Q44" s="1609">
        <f t="shared" si="28"/>
        <v>72535</v>
      </c>
      <c r="R44" s="1609">
        <f t="shared" si="29"/>
        <v>59993</v>
      </c>
      <c r="S44" s="1609">
        <f t="shared" si="29"/>
        <v>59163</v>
      </c>
      <c r="T44" s="1610">
        <f>AO44</f>
        <v>-1.383356950723813</v>
      </c>
      <c r="U44" s="1610">
        <f>AP44</f>
        <v>6.4561965428021395</v>
      </c>
      <c r="V44" s="1508"/>
      <c r="X44" s="99"/>
      <c r="Z44" s="297" t="s">
        <v>187</v>
      </c>
      <c r="AA44" s="385"/>
      <c r="AB44" s="385"/>
      <c r="AC44" s="385"/>
      <c r="AD44" s="275">
        <v>31647999675</v>
      </c>
      <c r="AE44" s="275">
        <v>38176811109</v>
      </c>
      <c r="AF44" s="275">
        <v>50102055861</v>
      </c>
      <c r="AG44" s="275">
        <v>49168219478</v>
      </c>
      <c r="AH44" s="275">
        <v>35153307845</v>
      </c>
      <c r="AI44" s="275">
        <v>37175772019</v>
      </c>
      <c r="AJ44" s="375">
        <v>46880229847</v>
      </c>
      <c r="AK44" s="375">
        <v>48198549636</v>
      </c>
      <c r="AL44" s="346">
        <v>72535386484</v>
      </c>
      <c r="AM44" s="277">
        <v>59993680703</v>
      </c>
      <c r="AN44" s="278">
        <v>59163753951</v>
      </c>
      <c r="AO44" s="279">
        <f>IF(OR(AM44&lt;0,AN44&lt;0),"-",(AN44/AM44-1)*100)</f>
        <v>-1.383356950723813</v>
      </c>
      <c r="AP44" s="97">
        <f>IF(ISERROR(((AN44/AD44)^(1/10)-1)*100),"-",((AN44/AD44)^(1/10)-1)*100)</f>
        <v>6.4561965428021395</v>
      </c>
      <c r="AQ44" s="98"/>
      <c r="AR44" s="83">
        <f t="shared" si="24"/>
        <v>-829926752</v>
      </c>
      <c r="AS44" s="353">
        <f t="shared" si="25"/>
        <v>0.98616643049276187</v>
      </c>
    </row>
    <row r="45" spans="1:45" ht="14.85" customHeight="1">
      <c r="A45" s="1486"/>
      <c r="B45" s="1588" t="s">
        <v>1032</v>
      </c>
      <c r="C45" s="1584" t="s">
        <v>1017</v>
      </c>
      <c r="D45" s="1486"/>
      <c r="E45" s="1489"/>
      <c r="F45" s="1486"/>
      <c r="G45" s="1486"/>
      <c r="H45" s="1489"/>
      <c r="I45" s="1596">
        <f t="shared" si="28"/>
        <v>159865</v>
      </c>
      <c r="J45" s="1596">
        <f t="shared" si="28"/>
        <v>163681</v>
      </c>
      <c r="K45" s="1596">
        <f t="shared" si="28"/>
        <v>176266</v>
      </c>
      <c r="L45" s="1596">
        <f t="shared" si="28"/>
        <v>187287</v>
      </c>
      <c r="M45" s="1596">
        <f t="shared" si="28"/>
        <v>187585</v>
      </c>
      <c r="N45" s="1596">
        <f t="shared" si="28"/>
        <v>176673</v>
      </c>
      <c r="O45" s="1596">
        <f t="shared" si="28"/>
        <v>184600</v>
      </c>
      <c r="P45" s="1596">
        <f t="shared" si="28"/>
        <v>195976</v>
      </c>
      <c r="Q45" s="1596">
        <f t="shared" si="28"/>
        <v>200800</v>
      </c>
      <c r="R45" s="1596">
        <f t="shared" si="29"/>
        <v>209147</v>
      </c>
      <c r="S45" s="1596">
        <f t="shared" si="29"/>
        <v>212434</v>
      </c>
      <c r="T45" s="1597">
        <f>AO45</f>
        <v>1.5715941047125703</v>
      </c>
      <c r="U45" s="1597">
        <f>AP45</f>
        <v>2.8837676240969889</v>
      </c>
      <c r="V45" s="1508"/>
      <c r="X45" s="99"/>
      <c r="Z45" s="386" t="s">
        <v>193</v>
      </c>
      <c r="AA45" s="293" t="s">
        <v>188</v>
      </c>
      <c r="AB45" s="345"/>
      <c r="AC45" s="348"/>
      <c r="AD45" s="283">
        <v>159865922780</v>
      </c>
      <c r="AE45" s="283">
        <v>163681115256</v>
      </c>
      <c r="AF45" s="283">
        <v>176266003606</v>
      </c>
      <c r="AG45" s="283">
        <v>187287166327</v>
      </c>
      <c r="AH45" s="283">
        <v>187585972580</v>
      </c>
      <c r="AI45" s="283">
        <v>176673176643</v>
      </c>
      <c r="AJ45" s="372">
        <v>184600293543</v>
      </c>
      <c r="AK45" s="372">
        <v>195976523442</v>
      </c>
      <c r="AL45" s="373">
        <v>200800641420</v>
      </c>
      <c r="AM45" s="285">
        <v>209147283713</v>
      </c>
      <c r="AN45" s="286">
        <v>212434230094</v>
      </c>
      <c r="AO45" s="287">
        <f>IF(OR(AM45&lt;0,AN45&lt;0),"-",(AN45/AM45-1)*100)</f>
        <v>1.5715941047125703</v>
      </c>
      <c r="AP45" s="127">
        <f>IF(ISERROR(((AN45/AD45)^(1/10)-1)*100),"-",((AN45/AD45)^(1/10)-1)*100)</f>
        <v>2.8837676240969889</v>
      </c>
      <c r="AQ45" s="98"/>
      <c r="AR45" s="83">
        <f t="shared" si="24"/>
        <v>3286946381</v>
      </c>
      <c r="AS45" s="353">
        <f t="shared" si="25"/>
        <v>1.0157159410471257</v>
      </c>
    </row>
    <row r="46" spans="1:45" ht="14.85" customHeight="1">
      <c r="A46" s="1486"/>
      <c r="B46" s="1608" t="s">
        <v>322</v>
      </c>
      <c r="C46" s="1547"/>
      <c r="D46" s="1548"/>
      <c r="E46" s="1549" t="s">
        <v>1018</v>
      </c>
      <c r="F46" s="1550"/>
      <c r="G46" s="1550"/>
      <c r="H46" s="1551"/>
      <c r="I46" s="1592">
        <f t="shared" si="28"/>
        <v>18881</v>
      </c>
      <c r="J46" s="1592">
        <f t="shared" si="28"/>
        <v>18881</v>
      </c>
      <c r="K46" s="1592">
        <f t="shared" si="28"/>
        <v>18881</v>
      </c>
      <c r="L46" s="1592">
        <f t="shared" si="28"/>
        <v>18881</v>
      </c>
      <c r="M46" s="1592">
        <f t="shared" si="28"/>
        <v>18881</v>
      </c>
      <c r="N46" s="1592">
        <f t="shared" si="28"/>
        <v>18881</v>
      </c>
      <c r="O46" s="1592">
        <f t="shared" si="28"/>
        <v>18881</v>
      </c>
      <c r="P46" s="1592">
        <f t="shared" si="28"/>
        <v>18881</v>
      </c>
      <c r="Q46" s="1592">
        <f t="shared" si="28"/>
        <v>18881</v>
      </c>
      <c r="R46" s="1592">
        <f t="shared" si="29"/>
        <v>18881</v>
      </c>
      <c r="S46" s="1592">
        <f t="shared" si="29"/>
        <v>18881</v>
      </c>
      <c r="T46" s="1593"/>
      <c r="U46" s="1593"/>
      <c r="V46" s="1508"/>
      <c r="X46" s="99">
        <f>S46/R46</f>
        <v>1</v>
      </c>
      <c r="Z46" s="374" t="s">
        <v>322</v>
      </c>
      <c r="AA46" s="374"/>
      <c r="AB46" s="5"/>
      <c r="AC46" s="4" t="s">
        <v>189</v>
      </c>
      <c r="AD46" s="281">
        <v>18881312607</v>
      </c>
      <c r="AE46" s="281">
        <v>18881312607</v>
      </c>
      <c r="AF46" s="281">
        <v>18881312607</v>
      </c>
      <c r="AG46" s="281">
        <v>18881312607</v>
      </c>
      <c r="AH46" s="281">
        <v>18881312607</v>
      </c>
      <c r="AI46" s="281">
        <v>18881312607</v>
      </c>
      <c r="AJ46" s="354">
        <v>18881312607</v>
      </c>
      <c r="AK46" s="354">
        <v>18881312607</v>
      </c>
      <c r="AL46" s="344">
        <v>18881312607</v>
      </c>
      <c r="AM46" s="355">
        <v>18881312607</v>
      </c>
      <c r="AN46" s="356">
        <v>18881312607</v>
      </c>
      <c r="AO46" s="357"/>
      <c r="AP46" s="358"/>
      <c r="AQ46" s="98"/>
      <c r="AR46" s="83">
        <f t="shared" si="24"/>
        <v>0</v>
      </c>
      <c r="AS46" s="353">
        <f t="shared" si="25"/>
        <v>1</v>
      </c>
    </row>
    <row r="47" spans="1:45" ht="14.85" customHeight="1">
      <c r="A47" s="1486"/>
      <c r="B47" s="1608"/>
      <c r="C47" s="1547"/>
      <c r="D47" s="1552"/>
      <c r="E47" s="1553" t="s">
        <v>1019</v>
      </c>
      <c r="F47" s="1554"/>
      <c r="G47" s="1554"/>
      <c r="H47" s="1555"/>
      <c r="I47" s="1594">
        <f t="shared" si="28"/>
        <v>18914</v>
      </c>
      <c r="J47" s="1594">
        <f t="shared" si="28"/>
        <v>18913</v>
      </c>
      <c r="K47" s="1594">
        <f t="shared" si="28"/>
        <v>18914</v>
      </c>
      <c r="L47" s="1594">
        <f t="shared" si="28"/>
        <v>18913</v>
      </c>
      <c r="M47" s="1594">
        <f t="shared" si="28"/>
        <v>18911</v>
      </c>
      <c r="N47" s="1594">
        <f t="shared" si="28"/>
        <v>18911</v>
      </c>
      <c r="O47" s="1594">
        <f t="shared" si="28"/>
        <v>18915</v>
      </c>
      <c r="P47" s="1594">
        <f t="shared" si="28"/>
        <v>8992</v>
      </c>
      <c r="Q47" s="1594">
        <f t="shared" si="28"/>
        <v>8992</v>
      </c>
      <c r="R47" s="1594">
        <f t="shared" si="29"/>
        <v>9057</v>
      </c>
      <c r="S47" s="1594">
        <f t="shared" si="29"/>
        <v>9038</v>
      </c>
      <c r="T47" s="1595"/>
      <c r="U47" s="1595"/>
      <c r="V47" s="1508"/>
      <c r="X47" s="99">
        <f>S47/R47</f>
        <v>0.99790217511317214</v>
      </c>
      <c r="Z47" s="374"/>
      <c r="AA47" s="374"/>
      <c r="AB47" s="5"/>
      <c r="AC47" s="4" t="s">
        <v>346</v>
      </c>
      <c r="AD47" s="281">
        <v>18914340092</v>
      </c>
      <c r="AE47" s="281">
        <v>18913312492</v>
      </c>
      <c r="AF47" s="281">
        <v>18914863032</v>
      </c>
      <c r="AG47" s="281">
        <v>18913376532</v>
      </c>
      <c r="AH47" s="281">
        <v>18911894912</v>
      </c>
      <c r="AI47" s="281">
        <v>18911475412</v>
      </c>
      <c r="AJ47" s="354">
        <v>18915018112</v>
      </c>
      <c r="AK47" s="354">
        <v>8992143148</v>
      </c>
      <c r="AL47" s="344">
        <v>8992143148</v>
      </c>
      <c r="AM47" s="355">
        <v>9057974465</v>
      </c>
      <c r="AN47" s="356">
        <v>9038010465</v>
      </c>
      <c r="AO47" s="357"/>
      <c r="AP47" s="358"/>
      <c r="AQ47" s="98"/>
      <c r="AR47" s="83">
        <f t="shared" si="24"/>
        <v>-19964000</v>
      </c>
      <c r="AS47" s="353">
        <f t="shared" si="25"/>
        <v>0.9977959752395924</v>
      </c>
    </row>
    <row r="48" spans="1:45" ht="14.85" customHeight="1">
      <c r="A48" s="1486"/>
      <c r="B48" s="1608"/>
      <c r="C48" s="1547"/>
      <c r="D48" s="1552"/>
      <c r="E48" s="1489" t="s">
        <v>1020</v>
      </c>
      <c r="F48" s="1486"/>
      <c r="G48" s="1486"/>
      <c r="H48" s="1556"/>
      <c r="I48" s="1596">
        <f t="shared" ref="I48:S49" si="30">IF(AD48=0,"-",ROUNDDOWN(AD48,-6)/1000000)</f>
        <v>161926</v>
      </c>
      <c r="J48" s="1596">
        <f t="shared" si="30"/>
        <v>173488</v>
      </c>
      <c r="K48" s="1596">
        <f t="shared" si="30"/>
        <v>185835</v>
      </c>
      <c r="L48" s="1596">
        <f t="shared" si="30"/>
        <v>198940</v>
      </c>
      <c r="M48" s="1596">
        <f t="shared" si="30"/>
        <v>206654</v>
      </c>
      <c r="N48" s="1596">
        <f t="shared" si="30"/>
        <v>196315</v>
      </c>
      <c r="O48" s="1596">
        <f t="shared" si="30"/>
        <v>211843</v>
      </c>
      <c r="P48" s="1596">
        <f t="shared" si="30"/>
        <v>180137</v>
      </c>
      <c r="Q48" s="1596">
        <f t="shared" si="30"/>
        <v>196225</v>
      </c>
      <c r="R48" s="1596">
        <f t="shared" si="30"/>
        <v>214166</v>
      </c>
      <c r="S48" s="1596">
        <f t="shared" si="30"/>
        <v>193843</v>
      </c>
      <c r="T48" s="1597"/>
      <c r="U48" s="1597"/>
      <c r="V48" s="1508"/>
      <c r="X48" s="99">
        <f>S48/R48</f>
        <v>0.90510631939710318</v>
      </c>
      <c r="Z48" s="374"/>
      <c r="AA48" s="374"/>
      <c r="AB48" s="5"/>
      <c r="AC48" s="4" t="s">
        <v>349</v>
      </c>
      <c r="AD48" s="281">
        <v>161926369117</v>
      </c>
      <c r="AE48" s="281">
        <v>173488762169</v>
      </c>
      <c r="AF48" s="281">
        <v>185835286399</v>
      </c>
      <c r="AG48" s="281">
        <v>198940567719</v>
      </c>
      <c r="AH48" s="281">
        <v>206654761952</v>
      </c>
      <c r="AI48" s="281">
        <v>196315909055</v>
      </c>
      <c r="AJ48" s="354">
        <v>211843156434</v>
      </c>
      <c r="AK48" s="354">
        <v>180137580158</v>
      </c>
      <c r="AL48" s="344">
        <v>196225220830</v>
      </c>
      <c r="AM48" s="355">
        <v>214166223384</v>
      </c>
      <c r="AN48" s="356">
        <v>193843558775</v>
      </c>
      <c r="AO48" s="357"/>
      <c r="AP48" s="358"/>
      <c r="AQ48" s="98"/>
      <c r="AR48" s="83">
        <f t="shared" si="24"/>
        <v>-20322664609</v>
      </c>
      <c r="AS48" s="353">
        <f t="shared" si="25"/>
        <v>0.90510798440629237</v>
      </c>
    </row>
    <row r="49" spans="1:47" ht="14.85" customHeight="1">
      <c r="A49" s="1486"/>
      <c r="B49" s="1608"/>
      <c r="C49" s="1557"/>
      <c r="D49" s="1558"/>
      <c r="E49" s="1559" t="s">
        <v>1021</v>
      </c>
      <c r="F49" s="1560"/>
      <c r="G49" s="1560"/>
      <c r="H49" s="1561"/>
      <c r="I49" s="1598">
        <f t="shared" si="30"/>
        <v>-39856</v>
      </c>
      <c r="J49" s="1598">
        <f t="shared" si="30"/>
        <v>-47602</v>
      </c>
      <c r="K49" s="1598">
        <f t="shared" si="30"/>
        <v>-47365</v>
      </c>
      <c r="L49" s="1598">
        <f t="shared" si="30"/>
        <v>-49448</v>
      </c>
      <c r="M49" s="1598">
        <f t="shared" si="30"/>
        <v>-56861</v>
      </c>
      <c r="N49" s="1598">
        <f t="shared" si="30"/>
        <v>-57435</v>
      </c>
      <c r="O49" s="1598">
        <f t="shared" si="30"/>
        <v>-65039</v>
      </c>
      <c r="P49" s="1598">
        <f t="shared" si="30"/>
        <v>-12034</v>
      </c>
      <c r="Q49" s="1598">
        <f t="shared" si="30"/>
        <v>-23298</v>
      </c>
      <c r="R49" s="1598">
        <f t="shared" si="30"/>
        <v>-32958</v>
      </c>
      <c r="S49" s="1598">
        <f t="shared" si="30"/>
        <v>-9328</v>
      </c>
      <c r="T49" s="1599"/>
      <c r="U49" s="1599"/>
      <c r="V49" s="1508"/>
      <c r="X49" s="99">
        <f>S49/R49</f>
        <v>0.28302688269919291</v>
      </c>
      <c r="Z49" s="374"/>
      <c r="AA49" s="359"/>
      <c r="AB49" s="5"/>
      <c r="AC49" s="4" t="s">
        <v>204</v>
      </c>
      <c r="AD49" s="275">
        <v>-39856099036</v>
      </c>
      <c r="AE49" s="275">
        <v>-47602272012</v>
      </c>
      <c r="AF49" s="275">
        <v>-47365458432</v>
      </c>
      <c r="AG49" s="275">
        <v>-49448090531</v>
      </c>
      <c r="AH49" s="275">
        <v>-56861996891</v>
      </c>
      <c r="AI49" s="275">
        <v>-57435520431</v>
      </c>
      <c r="AJ49" s="375">
        <v>-65039193610</v>
      </c>
      <c r="AK49" s="375">
        <v>-12034512471</v>
      </c>
      <c r="AL49" s="346">
        <v>-23298035165</v>
      </c>
      <c r="AM49" s="277">
        <v>-32958226743</v>
      </c>
      <c r="AN49" s="278">
        <v>-9328651753</v>
      </c>
      <c r="AO49" s="279"/>
      <c r="AP49" s="97"/>
      <c r="AQ49" s="98"/>
      <c r="AR49" s="83">
        <f t="shared" si="24"/>
        <v>23629574990</v>
      </c>
      <c r="AS49" s="353">
        <f t="shared" si="25"/>
        <v>0.28304471068005238</v>
      </c>
    </row>
    <row r="50" spans="1:47" ht="14.85" customHeight="1">
      <c r="A50" s="1486"/>
      <c r="B50" s="1608"/>
      <c r="C50" s="1580" t="s">
        <v>1022</v>
      </c>
      <c r="D50" s="1582"/>
      <c r="E50" s="1581"/>
      <c r="F50" s="1582"/>
      <c r="G50" s="1582"/>
      <c r="H50" s="1581"/>
      <c r="I50" s="1590">
        <f t="shared" ref="I50:Q57" si="31">IF(AD50=0,"-",ROUNDDOWN(AD50,-6)/1000000)</f>
        <v>-5710</v>
      </c>
      <c r="J50" s="1590">
        <f t="shared" si="31"/>
        <v>-5652</v>
      </c>
      <c r="K50" s="1590">
        <f t="shared" si="31"/>
        <v>-5498</v>
      </c>
      <c r="L50" s="1590">
        <f t="shared" si="31"/>
        <v>-5588</v>
      </c>
      <c r="M50" s="1590">
        <f t="shared" si="31"/>
        <v>-5646</v>
      </c>
      <c r="N50" s="1590">
        <f t="shared" si="31"/>
        <v>-5278</v>
      </c>
      <c r="O50" s="1590">
        <f t="shared" si="31"/>
        <v>-4719</v>
      </c>
      <c r="P50" s="1590">
        <f t="shared" si="31"/>
        <v>-4979</v>
      </c>
      <c r="Q50" s="1590">
        <f t="shared" si="31"/>
        <v>-5242</v>
      </c>
      <c r="R50" s="1590">
        <f t="shared" ref="R50:R57" si="32">IF(AM50=0,"-",ROUNDDOWN(AM50,-6)/1000000)</f>
        <v>-5385</v>
      </c>
      <c r="S50" s="1590">
        <f t="shared" ref="S50:S57" si="33">IF(AN50=0,"-",ROUNDDOWN(AN50,-6)/1000000)</f>
        <v>-5356</v>
      </c>
      <c r="T50" s="1591" t="str">
        <f>AO50</f>
        <v>-</v>
      </c>
      <c r="U50" s="1591" t="str">
        <f>AP50</f>
        <v>-</v>
      </c>
      <c r="V50" s="1508"/>
      <c r="X50" s="99"/>
      <c r="Z50" s="374"/>
      <c r="AA50" s="387" t="s">
        <v>1</v>
      </c>
      <c r="AB50" s="371"/>
      <c r="AC50" s="370"/>
      <c r="AD50" s="275">
        <v>-5710213690</v>
      </c>
      <c r="AE50" s="275">
        <v>-5652046134</v>
      </c>
      <c r="AF50" s="275">
        <v>-5498706714</v>
      </c>
      <c r="AG50" s="275">
        <v>-5588982401</v>
      </c>
      <c r="AH50" s="275">
        <v>-5646349790</v>
      </c>
      <c r="AI50" s="275">
        <v>-5278873103</v>
      </c>
      <c r="AJ50" s="375">
        <v>-4719801419</v>
      </c>
      <c r="AK50" s="375">
        <v>-4979231197</v>
      </c>
      <c r="AL50" s="346">
        <v>-5242408535</v>
      </c>
      <c r="AM50" s="277">
        <v>-5385468876</v>
      </c>
      <c r="AN50" s="278">
        <v>-5356023792</v>
      </c>
      <c r="AO50" s="338" t="s">
        <v>352</v>
      </c>
      <c r="AP50" s="97" t="s">
        <v>10</v>
      </c>
      <c r="AQ50" s="98"/>
      <c r="AR50" s="83">
        <f t="shared" si="24"/>
        <v>29445084</v>
      </c>
      <c r="AS50" s="353">
        <f t="shared" si="25"/>
        <v>0.99453249388716736</v>
      </c>
    </row>
    <row r="51" spans="1:47" ht="14.85" hidden="1" customHeight="1" outlineLevel="1">
      <c r="A51" s="1486"/>
      <c r="B51" s="1608"/>
      <c r="C51" s="1562"/>
      <c r="D51" s="1563"/>
      <c r="E51" s="1550" t="s">
        <v>1023</v>
      </c>
      <c r="F51" s="1549"/>
      <c r="G51" s="1549"/>
      <c r="H51" s="1585"/>
      <c r="I51" s="1592">
        <f t="shared" si="31"/>
        <v>160</v>
      </c>
      <c r="J51" s="1592">
        <f t="shared" si="31"/>
        <v>46</v>
      </c>
      <c r="K51" s="1592">
        <f t="shared" si="31"/>
        <v>141</v>
      </c>
      <c r="L51" s="1592">
        <f t="shared" si="31"/>
        <v>60</v>
      </c>
      <c r="M51" s="1592">
        <f t="shared" si="31"/>
        <v>2</v>
      </c>
      <c r="N51" s="1592">
        <f t="shared" si="31"/>
        <v>378</v>
      </c>
      <c r="O51" s="1592">
        <f t="shared" si="31"/>
        <v>930</v>
      </c>
      <c r="P51" s="1592">
        <f t="shared" si="31"/>
        <v>660</v>
      </c>
      <c r="Q51" s="1592">
        <f t="shared" si="31"/>
        <v>370</v>
      </c>
      <c r="R51" s="1592">
        <f t="shared" si="32"/>
        <v>111</v>
      </c>
      <c r="S51" s="1592">
        <f t="shared" si="33"/>
        <v>99</v>
      </c>
      <c r="T51" s="1593"/>
      <c r="U51" s="1593"/>
      <c r="V51" s="1508"/>
      <c r="X51" s="99"/>
      <c r="Z51" s="374"/>
      <c r="AA51" s="376"/>
      <c r="AB51" s="4"/>
      <c r="AC51" s="5" t="s">
        <v>205</v>
      </c>
      <c r="AD51" s="281">
        <v>160602130</v>
      </c>
      <c r="AE51" s="281">
        <v>46458569</v>
      </c>
      <c r="AF51" s="281">
        <v>141056559</v>
      </c>
      <c r="AG51" s="281">
        <v>60095491</v>
      </c>
      <c r="AH51" s="281">
        <v>2376954</v>
      </c>
      <c r="AI51" s="281">
        <v>378764638</v>
      </c>
      <c r="AJ51" s="354">
        <v>930835112</v>
      </c>
      <c r="AK51" s="354">
        <v>660413863</v>
      </c>
      <c r="AL51" s="344">
        <v>370191320</v>
      </c>
      <c r="AM51" s="355">
        <v>111775320</v>
      </c>
      <c r="AN51" s="356">
        <v>99548048</v>
      </c>
      <c r="AO51" s="357"/>
      <c r="AP51" s="358"/>
      <c r="AQ51" s="98"/>
      <c r="AR51" s="83">
        <f t="shared" si="24"/>
        <v>-12227272</v>
      </c>
      <c r="AS51" s="353">
        <f t="shared" si="25"/>
        <v>0.89060848137137971</v>
      </c>
    </row>
    <row r="52" spans="1:47" ht="14.85" hidden="1" customHeight="1" outlineLevel="1">
      <c r="A52" s="1486"/>
      <c r="B52" s="1608"/>
      <c r="C52" s="1547"/>
      <c r="D52" s="1552"/>
      <c r="E52" s="1553" t="s">
        <v>1024</v>
      </c>
      <c r="F52" s="1554"/>
      <c r="G52" s="1554"/>
      <c r="H52" s="1555"/>
      <c r="I52" s="1594">
        <f t="shared" ref="I52:S52" si="34">IF(AD52=0,"-",ROUNDDOWN(AD52,-6)/1000000)</f>
        <v>-5863</v>
      </c>
      <c r="J52" s="1594">
        <f t="shared" si="34"/>
        <v>-5694</v>
      </c>
      <c r="K52" s="1594">
        <f t="shared" si="34"/>
        <v>-5633</v>
      </c>
      <c r="L52" s="1594">
        <f t="shared" si="34"/>
        <v>-5633</v>
      </c>
      <c r="M52" s="1594">
        <f t="shared" si="34"/>
        <v>-5633</v>
      </c>
      <c r="N52" s="1594">
        <f t="shared" si="34"/>
        <v>-5636</v>
      </c>
      <c r="O52" s="1594">
        <f t="shared" si="34"/>
        <v>-5636</v>
      </c>
      <c r="P52" s="1594">
        <f t="shared" si="34"/>
        <v>-5636</v>
      </c>
      <c r="Q52" s="1594">
        <f t="shared" si="34"/>
        <v>-5636</v>
      </c>
      <c r="R52" s="1594">
        <f t="shared" si="34"/>
        <v>-5563</v>
      </c>
      <c r="S52" s="1594">
        <f t="shared" si="34"/>
        <v>-5563</v>
      </c>
      <c r="T52" s="1595"/>
      <c r="U52" s="1595"/>
      <c r="V52" s="1508"/>
      <c r="X52" s="99">
        <f>S52/R52</f>
        <v>1</v>
      </c>
      <c r="Z52" s="374"/>
      <c r="AA52" s="374"/>
      <c r="AB52" s="5"/>
      <c r="AC52" s="4" t="s">
        <v>350</v>
      </c>
      <c r="AD52" s="281">
        <v>-5863614176</v>
      </c>
      <c r="AE52" s="281">
        <v>-5694837845</v>
      </c>
      <c r="AF52" s="281">
        <v>-5633645034</v>
      </c>
      <c r="AG52" s="281">
        <v>-5633645034</v>
      </c>
      <c r="AH52" s="281">
        <v>-5633645034</v>
      </c>
      <c r="AI52" s="281">
        <v>-5636340418</v>
      </c>
      <c r="AJ52" s="354">
        <v>-5636340418</v>
      </c>
      <c r="AK52" s="354">
        <v>-5636340418</v>
      </c>
      <c r="AL52" s="344">
        <v>-5636340418</v>
      </c>
      <c r="AM52" s="355">
        <v>-5563905326</v>
      </c>
      <c r="AN52" s="356">
        <v>-5563905326</v>
      </c>
      <c r="AO52" s="357"/>
      <c r="AP52" s="358"/>
      <c r="AQ52" s="98"/>
      <c r="AR52" s="83">
        <f>AN52-AM52</f>
        <v>0</v>
      </c>
      <c r="AS52" s="353">
        <f>AN52/AM52</f>
        <v>1</v>
      </c>
    </row>
    <row r="53" spans="1:47" ht="14.85" hidden="1" customHeight="1" outlineLevel="1">
      <c r="A53" s="1486"/>
      <c r="B53" s="1608"/>
      <c r="C53" s="1557"/>
      <c r="D53" s="1558"/>
      <c r="E53" s="1577" t="s">
        <v>1025</v>
      </c>
      <c r="F53" s="1578"/>
      <c r="G53" s="1578"/>
      <c r="H53" s="1579"/>
      <c r="I53" s="1606">
        <f t="shared" si="31"/>
        <v>-7</v>
      </c>
      <c r="J53" s="1606">
        <f t="shared" si="31"/>
        <v>-3</v>
      </c>
      <c r="K53" s="1606">
        <f t="shared" si="31"/>
        <v>-6</v>
      </c>
      <c r="L53" s="1606">
        <f t="shared" si="31"/>
        <v>-15</v>
      </c>
      <c r="M53" s="1606">
        <f t="shared" si="31"/>
        <v>-15</v>
      </c>
      <c r="N53" s="1606">
        <f t="shared" si="31"/>
        <v>-21</v>
      </c>
      <c r="O53" s="1606">
        <f t="shared" si="31"/>
        <v>-14</v>
      </c>
      <c r="P53" s="1606">
        <f t="shared" si="31"/>
        <v>-3</v>
      </c>
      <c r="Q53" s="1606">
        <f t="shared" si="31"/>
        <v>23</v>
      </c>
      <c r="R53" s="1606">
        <f t="shared" si="32"/>
        <v>66</v>
      </c>
      <c r="S53" s="1606">
        <f>IF(AN53=0,"-",ROUNDDOWN(AN53,-6)/1000000)</f>
        <v>108</v>
      </c>
      <c r="T53" s="1607"/>
      <c r="U53" s="1607"/>
      <c r="V53" s="1508"/>
      <c r="X53" s="99">
        <f>S53/R53</f>
        <v>1.6363636363636365</v>
      </c>
      <c r="Z53" s="374"/>
      <c r="AA53" s="359"/>
      <c r="AB53" s="5"/>
      <c r="AC53" s="4" t="s">
        <v>291</v>
      </c>
      <c r="AD53" s="275">
        <v>-7201644</v>
      </c>
      <c r="AE53" s="275">
        <v>-3666858</v>
      </c>
      <c r="AF53" s="275">
        <v>-6118239</v>
      </c>
      <c r="AG53" s="275">
        <v>-15432858</v>
      </c>
      <c r="AH53" s="275">
        <v>-15081710</v>
      </c>
      <c r="AI53" s="275">
        <v>-21297323</v>
      </c>
      <c r="AJ53" s="375">
        <v>-14296113</v>
      </c>
      <c r="AK53" s="375">
        <v>-3304642</v>
      </c>
      <c r="AL53" s="346">
        <v>23740563</v>
      </c>
      <c r="AM53" s="277">
        <v>66661130</v>
      </c>
      <c r="AN53" s="278">
        <v>108333486</v>
      </c>
      <c r="AO53" s="279"/>
      <c r="AP53" s="97"/>
      <c r="AQ53" s="98"/>
      <c r="AR53" s="83">
        <f t="shared" si="24"/>
        <v>41672356</v>
      </c>
      <c r="AS53" s="388">
        <f>AN53/AM53</f>
        <v>1.6251372576492478</v>
      </c>
    </row>
    <row r="54" spans="1:47" ht="14.85" customHeight="1" collapsed="1">
      <c r="A54" s="1486"/>
      <c r="B54" s="1608"/>
      <c r="C54" s="1586" t="s">
        <v>1026</v>
      </c>
      <c r="D54" s="1586"/>
      <c r="E54" s="1583"/>
      <c r="F54" s="1586"/>
      <c r="G54" s="1586"/>
      <c r="H54" s="1587"/>
      <c r="I54" s="1609">
        <f t="shared" si="31"/>
        <v>262</v>
      </c>
      <c r="J54" s="1609">
        <f t="shared" si="31"/>
        <v>306</v>
      </c>
      <c r="K54" s="1609">
        <f t="shared" si="31"/>
        <v>364</v>
      </c>
      <c r="L54" s="1609">
        <f t="shared" si="31"/>
        <v>423</v>
      </c>
      <c r="M54" s="1609">
        <f t="shared" si="31"/>
        <v>494</v>
      </c>
      <c r="N54" s="1609">
        <f t="shared" si="31"/>
        <v>432</v>
      </c>
      <c r="O54" s="1609">
        <f t="shared" si="31"/>
        <v>457</v>
      </c>
      <c r="P54" s="1609">
        <f t="shared" si="31"/>
        <v>457</v>
      </c>
      <c r="Q54" s="1609">
        <f t="shared" si="31"/>
        <v>442</v>
      </c>
      <c r="R54" s="1609">
        <f t="shared" si="32"/>
        <v>442</v>
      </c>
      <c r="S54" s="1609">
        <f t="shared" si="33"/>
        <v>442</v>
      </c>
      <c r="T54" s="1610">
        <f t="shared" ref="T54:U57" si="35">AO54</f>
        <v>0</v>
      </c>
      <c r="U54" s="1610">
        <f t="shared" si="35"/>
        <v>5.3400740734905083</v>
      </c>
      <c r="V54" s="1508"/>
      <c r="X54" s="99">
        <f>S54/R54</f>
        <v>1</v>
      </c>
      <c r="Z54" s="374"/>
      <c r="AA54" s="370" t="s">
        <v>213</v>
      </c>
      <c r="AB54" s="370"/>
      <c r="AC54" s="371"/>
      <c r="AD54" s="349">
        <v>262934960</v>
      </c>
      <c r="AE54" s="349">
        <v>306842360</v>
      </c>
      <c r="AF54" s="349">
        <v>364424520</v>
      </c>
      <c r="AG54" s="349">
        <v>423900820</v>
      </c>
      <c r="AH54" s="349">
        <v>494164940</v>
      </c>
      <c r="AI54" s="275">
        <v>432197940</v>
      </c>
      <c r="AJ54" s="375">
        <v>457245240</v>
      </c>
      <c r="AK54" s="375">
        <v>457245240</v>
      </c>
      <c r="AL54" s="346">
        <v>442368840</v>
      </c>
      <c r="AM54" s="277">
        <v>442368840</v>
      </c>
      <c r="AN54" s="278">
        <v>442368840</v>
      </c>
      <c r="AO54" s="279">
        <f>IF(OR(AM54&lt;0,AN54&lt;0),"-",(AN54/AM54-1)*100)</f>
        <v>0</v>
      </c>
      <c r="AP54" s="97">
        <f>IF(ISERROR(((AN54/AD54)^(1/10)-1)*100),"-",((AN54/AD54)^(1/10)-1)*100)</f>
        <v>5.3400740734905083</v>
      </c>
      <c r="AQ54" s="98"/>
      <c r="AR54" s="83">
        <f t="shared" si="24"/>
        <v>0</v>
      </c>
      <c r="AS54" s="353">
        <f>AN54/AM54</f>
        <v>1</v>
      </c>
    </row>
    <row r="55" spans="1:47" ht="14.85" customHeight="1">
      <c r="A55" s="1486"/>
      <c r="B55" s="1608"/>
      <c r="C55" s="1486" t="s">
        <v>1027</v>
      </c>
      <c r="D55" s="1486"/>
      <c r="E55" s="1489"/>
      <c r="F55" s="1486"/>
      <c r="G55" s="1486"/>
      <c r="H55" s="1556"/>
      <c r="I55" s="1596">
        <f t="shared" si="31"/>
        <v>765</v>
      </c>
      <c r="J55" s="1596">
        <f t="shared" si="31"/>
        <v>861</v>
      </c>
      <c r="K55" s="1596">
        <f t="shared" si="31"/>
        <v>1058</v>
      </c>
      <c r="L55" s="1596">
        <f t="shared" si="31"/>
        <v>1412</v>
      </c>
      <c r="M55" s="1596">
        <f t="shared" si="31"/>
        <v>1546</v>
      </c>
      <c r="N55" s="1596">
        <f t="shared" si="31"/>
        <v>1697</v>
      </c>
      <c r="O55" s="1596">
        <f t="shared" si="31"/>
        <v>2136</v>
      </c>
      <c r="P55" s="1596">
        <f t="shared" si="31"/>
        <v>2699</v>
      </c>
      <c r="Q55" s="1596">
        <f t="shared" si="31"/>
        <v>3021</v>
      </c>
      <c r="R55" s="1596">
        <f t="shared" si="32"/>
        <v>3150</v>
      </c>
      <c r="S55" s="1596">
        <f t="shared" si="33"/>
        <v>3446</v>
      </c>
      <c r="T55" s="1597">
        <f t="shared" si="35"/>
        <v>9.4009318219245195</v>
      </c>
      <c r="U55" s="1597">
        <f t="shared" si="35"/>
        <v>16.238664112910904</v>
      </c>
      <c r="V55" s="1508"/>
      <c r="X55" s="99">
        <f>S55/R55</f>
        <v>1.093968253968254</v>
      </c>
      <c r="Z55" s="359"/>
      <c r="AA55" s="5" t="s">
        <v>361</v>
      </c>
      <c r="AB55" s="5"/>
      <c r="AC55" s="4"/>
      <c r="AD55" s="275">
        <v>765335658</v>
      </c>
      <c r="AE55" s="275">
        <v>861598937</v>
      </c>
      <c r="AF55" s="275">
        <v>1058352801</v>
      </c>
      <c r="AG55" s="275">
        <v>1412975334</v>
      </c>
      <c r="AH55" s="275">
        <v>1546854478</v>
      </c>
      <c r="AI55" s="275">
        <v>1697642862</v>
      </c>
      <c r="AJ55" s="375">
        <v>2136144476</v>
      </c>
      <c r="AK55" s="375">
        <v>2699540033</v>
      </c>
      <c r="AL55" s="346">
        <v>3021102249</v>
      </c>
      <c r="AM55" s="277">
        <v>3150192030</v>
      </c>
      <c r="AN55" s="278">
        <v>3446339435</v>
      </c>
      <c r="AO55" s="279">
        <f>IF(OR(AM55&lt;0,AN55&lt;0),"-",(AN55/AM55-1)*100)</f>
        <v>9.4009318219245195</v>
      </c>
      <c r="AP55" s="97">
        <f>IF(ISERROR(((AN55/AD55)^(1/10)-1)*100),"-",((AN55/AD55)^(1/10)-1)*100)</f>
        <v>16.238664112910904</v>
      </c>
      <c r="AQ55" s="98"/>
      <c r="AR55" s="83">
        <f t="shared" si="24"/>
        <v>296147405</v>
      </c>
      <c r="AS55" s="353">
        <f t="shared" si="25"/>
        <v>1.0940093182192452</v>
      </c>
    </row>
    <row r="56" spans="1:47" ht="14.85" customHeight="1">
      <c r="A56" s="1486"/>
      <c r="B56" s="1604" t="s">
        <v>1033</v>
      </c>
      <c r="C56" s="1576"/>
      <c r="D56" s="2067"/>
      <c r="E56" s="2067"/>
      <c r="F56" s="1583"/>
      <c r="G56" s="2068"/>
      <c r="H56" s="2067"/>
      <c r="I56" s="1609">
        <f t="shared" si="31"/>
        <v>155183</v>
      </c>
      <c r="J56" s="1609">
        <f t="shared" si="31"/>
        <v>159197</v>
      </c>
      <c r="K56" s="1609">
        <f t="shared" si="31"/>
        <v>172190</v>
      </c>
      <c r="L56" s="1609">
        <f t="shared" si="31"/>
        <v>183535</v>
      </c>
      <c r="M56" s="1609">
        <f t="shared" si="31"/>
        <v>183980</v>
      </c>
      <c r="N56" s="1609">
        <f t="shared" si="31"/>
        <v>173524</v>
      </c>
      <c r="O56" s="1609">
        <f t="shared" si="31"/>
        <v>182473</v>
      </c>
      <c r="P56" s="1609">
        <f t="shared" si="31"/>
        <v>194154</v>
      </c>
      <c r="Q56" s="1609">
        <f t="shared" si="31"/>
        <v>199021</v>
      </c>
      <c r="R56" s="1609">
        <f t="shared" si="32"/>
        <v>207354</v>
      </c>
      <c r="S56" s="1609">
        <f t="shared" si="33"/>
        <v>210966</v>
      </c>
      <c r="T56" s="1610">
        <f t="shared" si="35"/>
        <v>1.7422052742714467</v>
      </c>
      <c r="U56" s="1610">
        <f t="shared" si="35"/>
        <v>3.1185379018923598</v>
      </c>
      <c r="V56" s="1508"/>
      <c r="X56" s="99"/>
      <c r="Z56" s="297" t="s">
        <v>190</v>
      </c>
      <c r="AA56" s="385"/>
      <c r="AB56" s="385"/>
      <c r="AC56" s="385"/>
      <c r="AD56" s="275">
        <v>155183979708</v>
      </c>
      <c r="AE56" s="275">
        <v>159197510419</v>
      </c>
      <c r="AF56" s="275">
        <v>172190074213</v>
      </c>
      <c r="AG56" s="275">
        <v>183535060080</v>
      </c>
      <c r="AH56" s="275">
        <v>183980642208</v>
      </c>
      <c r="AI56" s="275">
        <v>173524144342</v>
      </c>
      <c r="AJ56" s="375">
        <v>182473881840</v>
      </c>
      <c r="AK56" s="375">
        <v>194154077518</v>
      </c>
      <c r="AL56" s="346">
        <v>199021703974</v>
      </c>
      <c r="AM56" s="277">
        <v>207354375707</v>
      </c>
      <c r="AN56" s="278">
        <v>210966914577</v>
      </c>
      <c r="AO56" s="279">
        <f>IF(OR(AM56&lt;0,AN56&lt;0),"-",(AN56/AM56-1)*100)</f>
        <v>1.7422052742714467</v>
      </c>
      <c r="AP56" s="97">
        <f>IF(ISERROR(((AN56/AD56)^(1/10)-1)*100),"-",((AN56/AD56)^(1/10)-1)*100)</f>
        <v>3.1185379018923598</v>
      </c>
      <c r="AQ56" s="98"/>
      <c r="AR56" s="83">
        <f t="shared" si="24"/>
        <v>3612538870</v>
      </c>
      <c r="AS56" s="353">
        <f t="shared" si="25"/>
        <v>1.0174220527427145</v>
      </c>
    </row>
    <row r="57" spans="1:47" s="140" customFormat="1" ht="14.85" customHeight="1" thickBot="1">
      <c r="A57" s="1486"/>
      <c r="B57" s="1605" t="s">
        <v>1034</v>
      </c>
      <c r="C57" s="2069"/>
      <c r="D57" s="2069"/>
      <c r="E57" s="2069"/>
      <c r="F57" s="1605"/>
      <c r="G57" s="2069"/>
      <c r="H57" s="2069"/>
      <c r="I57" s="1606">
        <f t="shared" si="31"/>
        <v>186831</v>
      </c>
      <c r="J57" s="1606">
        <f t="shared" si="31"/>
        <v>197374</v>
      </c>
      <c r="K57" s="1606">
        <f t="shared" si="31"/>
        <v>222292</v>
      </c>
      <c r="L57" s="1606">
        <f t="shared" si="31"/>
        <v>232703</v>
      </c>
      <c r="M57" s="1606">
        <f t="shared" si="31"/>
        <v>219133</v>
      </c>
      <c r="N57" s="1606">
        <f t="shared" si="31"/>
        <v>210699</v>
      </c>
      <c r="O57" s="1606">
        <f t="shared" si="31"/>
        <v>229354</v>
      </c>
      <c r="P57" s="1606">
        <f t="shared" si="31"/>
        <v>242352</v>
      </c>
      <c r="Q57" s="1606">
        <f t="shared" si="31"/>
        <v>271557</v>
      </c>
      <c r="R57" s="1606">
        <f t="shared" si="32"/>
        <v>267348</v>
      </c>
      <c r="S57" s="1609">
        <f t="shared" si="33"/>
        <v>270130</v>
      </c>
      <c r="T57" s="1610">
        <f t="shared" si="35"/>
        <v>1.0408200289036884</v>
      </c>
      <c r="U57" s="1610">
        <f t="shared" si="35"/>
        <v>3.7557724083346677</v>
      </c>
      <c r="V57" s="1508"/>
      <c r="W57" s="83"/>
      <c r="X57" s="99"/>
      <c r="Y57" s="83"/>
      <c r="Z57" s="297" t="s">
        <v>194</v>
      </c>
      <c r="AA57" s="389"/>
      <c r="AB57" s="389"/>
      <c r="AC57" s="389"/>
      <c r="AD57" s="275">
        <v>186831979383</v>
      </c>
      <c r="AE57" s="275">
        <v>197374321528</v>
      </c>
      <c r="AF57" s="275">
        <v>222292130074</v>
      </c>
      <c r="AG57" s="275">
        <v>232703279558</v>
      </c>
      <c r="AH57" s="275">
        <v>219133950053</v>
      </c>
      <c r="AI57" s="275">
        <v>210699916361</v>
      </c>
      <c r="AJ57" s="375">
        <v>229354111687</v>
      </c>
      <c r="AK57" s="375">
        <v>242352627154</v>
      </c>
      <c r="AL57" s="346">
        <v>271557090458</v>
      </c>
      <c r="AM57" s="277">
        <v>267348056410</v>
      </c>
      <c r="AN57" s="330">
        <v>270130668528</v>
      </c>
      <c r="AO57" s="331">
        <f>IF(OR(AM57&lt;0,AN57&lt;0),"-",(AN57/AM57-1)*100)</f>
        <v>1.0408200289036884</v>
      </c>
      <c r="AP57" s="332">
        <f>IF(ISERROR(((AN57/AD57)^(1/10)-1)*100),"-",((AN57/AD57)^(1/10)-1)*100)</f>
        <v>3.7557724083346677</v>
      </c>
      <c r="AQ57" s="98"/>
      <c r="AR57" s="83">
        <f t="shared" si="24"/>
        <v>2782612118</v>
      </c>
      <c r="AS57" s="353">
        <f t="shared" si="25"/>
        <v>1.0104082002890369</v>
      </c>
      <c r="AT57" s="83"/>
      <c r="AU57" s="83"/>
    </row>
    <row r="58" spans="1:47" s="140" customFormat="1" ht="11.1" hidden="1" customHeight="1" outlineLevel="2">
      <c r="A58" s="1509"/>
      <c r="B58" s="1898" t="s">
        <v>1182</v>
      </c>
      <c r="C58" s="1509"/>
      <c r="D58" s="1509"/>
      <c r="E58" s="1510"/>
      <c r="F58" s="1509"/>
      <c r="G58" s="1509"/>
      <c r="H58" s="1510"/>
      <c r="I58" s="1510"/>
      <c r="J58" s="1510"/>
      <c r="K58" s="1509"/>
      <c r="L58" s="1509"/>
      <c r="M58" s="1509"/>
      <c r="N58" s="1509"/>
      <c r="O58" s="1509"/>
      <c r="P58" s="1509"/>
      <c r="Q58" s="1509"/>
      <c r="R58" s="1509"/>
      <c r="S58" s="1509"/>
      <c r="T58" s="1509"/>
      <c r="U58" s="1509"/>
      <c r="V58" s="1509"/>
      <c r="Z58" s="390"/>
      <c r="AC58" s="101"/>
    </row>
    <row r="59" spans="1:47" s="140" customFormat="1" ht="11.1" hidden="1" customHeight="1" outlineLevel="2">
      <c r="A59" s="1509"/>
      <c r="B59" s="1899" t="s">
        <v>1181</v>
      </c>
      <c r="C59" s="1509"/>
      <c r="D59" s="1509"/>
      <c r="E59" s="1510"/>
      <c r="F59" s="1509"/>
      <c r="G59" s="1509"/>
      <c r="H59" s="1510"/>
      <c r="I59" s="1510"/>
      <c r="J59" s="1510"/>
      <c r="K59" s="1509"/>
      <c r="L59" s="1509"/>
      <c r="M59" s="1509"/>
      <c r="N59" s="1509"/>
      <c r="O59" s="1509"/>
      <c r="P59" s="1509"/>
      <c r="Q59" s="1509"/>
      <c r="R59" s="1509"/>
      <c r="S59" s="1509"/>
      <c r="T59" s="1509"/>
      <c r="U59" s="1509"/>
      <c r="V59" s="1509"/>
      <c r="AC59" s="101"/>
    </row>
    <row r="60" spans="1:47" s="140" customFormat="1" ht="11.1" hidden="1" customHeight="1" outlineLevel="2">
      <c r="A60" s="1509"/>
      <c r="B60" s="1899" t="s">
        <v>1251</v>
      </c>
      <c r="C60" s="1509"/>
      <c r="D60" s="1509"/>
      <c r="E60" s="1509"/>
      <c r="F60" s="1509"/>
      <c r="G60" s="1509"/>
      <c r="H60" s="1509"/>
      <c r="I60" s="1510"/>
      <c r="J60" s="1510"/>
      <c r="K60" s="1509"/>
      <c r="L60" s="1509"/>
      <c r="M60" s="1509"/>
      <c r="N60" s="1509"/>
      <c r="O60" s="1509"/>
      <c r="P60" s="1509"/>
      <c r="Q60" s="1509"/>
      <c r="R60" s="1509"/>
      <c r="S60" s="1509"/>
      <c r="T60" s="1509"/>
      <c r="U60" s="1509"/>
      <c r="V60" s="1509"/>
    </row>
    <row r="61" spans="1:47" s="140" customFormat="1" ht="11.1" hidden="1" customHeight="1" outlineLevel="2">
      <c r="A61" s="1509"/>
      <c r="B61" s="1017" t="s">
        <v>1183</v>
      </c>
      <c r="C61" s="1509"/>
      <c r="D61" s="1509"/>
      <c r="E61" s="1509"/>
      <c r="F61" s="1509"/>
      <c r="G61" s="1509"/>
      <c r="H61" s="1509"/>
      <c r="I61" s="1510"/>
      <c r="J61" s="1510"/>
      <c r="K61" s="1509"/>
      <c r="L61" s="1509"/>
      <c r="M61" s="1509"/>
      <c r="N61" s="1509"/>
      <c r="O61" s="1509"/>
      <c r="P61" s="1509"/>
      <c r="Q61" s="1509"/>
      <c r="R61" s="1509"/>
      <c r="S61" s="668"/>
      <c r="T61" s="668"/>
      <c r="U61" s="668"/>
      <c r="V61" s="668"/>
    </row>
    <row r="62" spans="1:47" s="140" customFormat="1" ht="11.1" hidden="1" customHeight="1" outlineLevel="2">
      <c r="A62" s="1509"/>
      <c r="B62" s="1858" t="s">
        <v>1184</v>
      </c>
      <c r="C62" s="1509"/>
      <c r="D62" s="1509"/>
      <c r="E62" s="1511"/>
      <c r="F62" s="1509"/>
      <c r="G62" s="1509"/>
      <c r="H62" s="1511"/>
      <c r="I62" s="668"/>
      <c r="J62" s="668"/>
      <c r="K62" s="668"/>
      <c r="L62" s="668"/>
      <c r="M62" s="668"/>
      <c r="N62" s="668"/>
      <c r="O62" s="668"/>
      <c r="P62" s="668"/>
      <c r="Q62" s="668"/>
      <c r="R62" s="668"/>
      <c r="S62" s="668"/>
      <c r="T62" s="668"/>
      <c r="U62" s="668"/>
      <c r="V62" s="668"/>
      <c r="AC62" s="142"/>
    </row>
    <row r="63" spans="1:47" s="140" customFormat="1" ht="11.1" hidden="1" customHeight="1" outlineLevel="2">
      <c r="A63" s="1509"/>
      <c r="B63" s="1858" t="s">
        <v>1252</v>
      </c>
      <c r="C63" s="1509"/>
      <c r="D63" s="1509"/>
      <c r="E63" s="1511"/>
      <c r="F63" s="1509"/>
      <c r="G63" s="1509"/>
      <c r="H63" s="1511"/>
      <c r="I63" s="1511"/>
      <c r="J63" s="1511"/>
      <c r="K63" s="1509"/>
      <c r="L63" s="1509"/>
      <c r="M63" s="1509"/>
      <c r="N63" s="1509"/>
      <c r="O63" s="1509"/>
      <c r="P63" s="1509"/>
      <c r="Q63" s="1509"/>
      <c r="R63" s="1509"/>
      <c r="S63" s="1509"/>
      <c r="T63" s="1509"/>
      <c r="U63" s="1509"/>
      <c r="V63" s="1509"/>
      <c r="AC63" s="142"/>
    </row>
    <row r="64" spans="1:47" s="140" customFormat="1" ht="7.5" customHeight="1" collapsed="1">
      <c r="A64" s="1509"/>
      <c r="B64" s="1491" t="s">
        <v>421</v>
      </c>
      <c r="C64" s="1509"/>
      <c r="D64" s="1509"/>
      <c r="E64" s="1511"/>
      <c r="F64" s="1509"/>
      <c r="G64" s="1509"/>
      <c r="H64" s="1511"/>
      <c r="I64" s="1511"/>
      <c r="J64" s="1511"/>
      <c r="K64" s="1509"/>
      <c r="L64" s="1509"/>
      <c r="M64" s="1509"/>
      <c r="N64" s="1509"/>
      <c r="O64" s="1509"/>
      <c r="P64" s="1509"/>
      <c r="Q64" s="1509"/>
      <c r="R64" s="1509"/>
      <c r="S64" s="1509"/>
      <c r="T64" s="1509"/>
      <c r="U64" s="1509"/>
      <c r="V64" s="1509"/>
      <c r="AC64" s="142"/>
    </row>
    <row r="65" spans="1:47" s="140" customFormat="1" ht="6.75" customHeight="1">
      <c r="A65" s="1509"/>
      <c r="B65" s="1780"/>
      <c r="C65" s="1509"/>
      <c r="D65" s="1509"/>
      <c r="E65" s="1511"/>
      <c r="F65" s="1509"/>
      <c r="G65" s="1509"/>
      <c r="H65" s="1511"/>
      <c r="I65" s="1511"/>
      <c r="J65" s="1511"/>
      <c r="K65" s="1509"/>
      <c r="L65" s="1509"/>
      <c r="M65" s="1509"/>
      <c r="N65" s="1509"/>
      <c r="O65" s="1509"/>
      <c r="P65" s="1509"/>
      <c r="Q65" s="1509"/>
      <c r="R65" s="1509"/>
      <c r="S65" s="1509"/>
      <c r="T65" s="1509"/>
      <c r="U65" s="1509"/>
      <c r="V65" s="1509"/>
      <c r="AC65" s="142"/>
    </row>
    <row r="66" spans="1:47" ht="15" customHeight="1">
      <c r="A66" s="1509"/>
      <c r="B66" s="1509"/>
      <c r="C66" s="1509"/>
      <c r="D66" s="1509"/>
      <c r="E66" s="1511"/>
      <c r="F66" s="1509"/>
      <c r="G66" s="1509"/>
      <c r="H66" s="1511"/>
      <c r="I66" s="1511"/>
      <c r="J66" s="1511"/>
      <c r="K66" s="1509"/>
      <c r="L66" s="1509"/>
      <c r="M66" s="1509"/>
      <c r="N66" s="1509"/>
      <c r="O66" s="1509"/>
      <c r="P66" s="1509"/>
      <c r="Q66" s="1509"/>
      <c r="R66" s="1509"/>
      <c r="S66" s="1509"/>
      <c r="T66" s="1509"/>
      <c r="U66" s="1509"/>
      <c r="V66" s="1509"/>
      <c r="W66" s="140"/>
      <c r="X66" s="140"/>
      <c r="Y66" s="140"/>
      <c r="Z66" s="140"/>
      <c r="AA66" s="140"/>
      <c r="AB66" s="140"/>
      <c r="AC66" s="142"/>
      <c r="AD66" s="140"/>
      <c r="AE66" s="140"/>
      <c r="AF66" s="140"/>
      <c r="AG66" s="140"/>
      <c r="AH66" s="140"/>
      <c r="AI66" s="140"/>
      <c r="AJ66" s="140"/>
      <c r="AK66" s="140"/>
      <c r="AL66" s="140"/>
      <c r="AM66" s="140"/>
      <c r="AN66" s="140"/>
      <c r="AO66" s="140"/>
      <c r="AP66" s="140"/>
      <c r="AQ66" s="140"/>
      <c r="AR66" s="140"/>
      <c r="AS66" s="140"/>
      <c r="AT66" s="140"/>
      <c r="AU66" s="140"/>
    </row>
    <row r="67" spans="1:47" ht="23.25" customHeight="1">
      <c r="A67" s="1486"/>
      <c r="B67" s="1486"/>
      <c r="C67" s="1486"/>
      <c r="D67" s="1486"/>
      <c r="E67" s="1487"/>
      <c r="F67" s="1486"/>
      <c r="G67" s="1486"/>
      <c r="H67" s="1487"/>
      <c r="I67" s="1487"/>
      <c r="J67" s="1487"/>
      <c r="K67" s="1486"/>
      <c r="L67" s="1486"/>
      <c r="M67" s="1486"/>
      <c r="N67" s="1486"/>
      <c r="O67" s="1486"/>
      <c r="P67" s="1486"/>
      <c r="Q67" s="1486"/>
      <c r="R67" s="1486"/>
      <c r="S67" s="1486"/>
      <c r="T67" s="1486"/>
      <c r="U67" s="1486"/>
      <c r="V67" s="1486"/>
    </row>
    <row r="68" spans="1:47" ht="15" customHeight="1">
      <c r="Z68" s="101" t="s">
        <v>321</v>
      </c>
    </row>
    <row r="69" spans="1:47" ht="15" customHeight="1">
      <c r="Z69" s="140" t="s">
        <v>292</v>
      </c>
    </row>
    <row r="70" spans="1:47" ht="15" customHeight="1">
      <c r="Z70" s="83" t="s">
        <v>397</v>
      </c>
    </row>
    <row r="71" spans="1:47" ht="15" customHeight="1">
      <c r="Z71" s="101" t="s">
        <v>400</v>
      </c>
    </row>
    <row r="72" spans="1:47" ht="15" customHeight="1">
      <c r="Z72" s="140" t="s">
        <v>401</v>
      </c>
    </row>
    <row r="73" spans="1:47" ht="15" customHeight="1">
      <c r="Z73" s="140" t="s">
        <v>402</v>
      </c>
    </row>
    <row r="77" spans="1:47" ht="15" customHeight="1">
      <c r="Z77" s="83" t="s">
        <v>1646</v>
      </c>
    </row>
    <row r="79" spans="1:47" ht="15" customHeight="1">
      <c r="AC79" s="83" t="s">
        <v>1291</v>
      </c>
      <c r="AM79" s="83" t="s">
        <v>1647</v>
      </c>
      <c r="AN79" s="83" t="s">
        <v>1648</v>
      </c>
    </row>
    <row r="80" spans="1:47" ht="15" customHeight="1">
      <c r="AC80" s="84" t="s">
        <v>1292</v>
      </c>
      <c r="AD80" s="1900">
        <f>AD17+AD20</f>
        <v>1363291297</v>
      </c>
      <c r="AE80" s="1900">
        <f t="shared" ref="AE80:AL80" si="36">AE17+AE20</f>
        <v>1189736283</v>
      </c>
      <c r="AF80" s="1900">
        <f t="shared" si="36"/>
        <v>903544604</v>
      </c>
      <c r="AG80" s="1900">
        <f t="shared" si="36"/>
        <v>2693516922</v>
      </c>
      <c r="AH80" s="1900">
        <f t="shared" si="36"/>
        <v>2606292839</v>
      </c>
      <c r="AI80" s="1900">
        <f t="shared" si="36"/>
        <v>1024620284</v>
      </c>
      <c r="AJ80" s="1900">
        <f t="shared" si="36"/>
        <v>1089083441</v>
      </c>
      <c r="AK80" s="1900">
        <f t="shared" si="36"/>
        <v>912454556</v>
      </c>
      <c r="AL80" s="1900">
        <f t="shared" si="36"/>
        <v>1178873090</v>
      </c>
      <c r="AM80" s="1900">
        <f>AM17+AM20</f>
        <v>2587287423</v>
      </c>
      <c r="AN80" s="1900">
        <f>AN17+AN20</f>
        <v>1156896190</v>
      </c>
    </row>
    <row r="81" spans="29:40" ht="15" customHeight="1">
      <c r="AC81" s="84" t="s">
        <v>1293</v>
      </c>
      <c r="AD81" s="83">
        <f>AD26+AD29</f>
        <v>4256193353</v>
      </c>
      <c r="AE81" s="83">
        <f t="shared" ref="AE81:AM81" si="37">AE26+AE29</f>
        <v>3873290966</v>
      </c>
      <c r="AF81" s="83">
        <f t="shared" si="37"/>
        <v>4146547220</v>
      </c>
      <c r="AG81" s="83">
        <f t="shared" si="37"/>
        <v>4117122498</v>
      </c>
      <c r="AH81" s="83">
        <f t="shared" si="37"/>
        <v>3734929117</v>
      </c>
      <c r="AI81" s="83">
        <f t="shared" si="37"/>
        <v>5502374050</v>
      </c>
      <c r="AJ81" s="83">
        <f t="shared" si="37"/>
        <v>5414265274</v>
      </c>
      <c r="AK81" s="83">
        <f t="shared" si="37"/>
        <v>6204065967</v>
      </c>
      <c r="AL81" s="83">
        <f t="shared" si="37"/>
        <v>6168319029</v>
      </c>
      <c r="AM81" s="83">
        <f t="shared" si="37"/>
        <v>6545852857</v>
      </c>
      <c r="AN81" s="83">
        <f>AN26+AN29</f>
        <v>7709633801</v>
      </c>
    </row>
    <row r="82" spans="29:40" ht="15" customHeight="1">
      <c r="AC82" s="84" t="s">
        <v>1294</v>
      </c>
      <c r="AD82" s="83">
        <f>AD36+AD37</f>
        <v>7118687442</v>
      </c>
      <c r="AE82" s="83">
        <f t="shared" ref="AE82:AM82" si="38">AE36+AE37</f>
        <v>8390316854</v>
      </c>
      <c r="AF82" s="83">
        <f t="shared" si="38"/>
        <v>7858869106</v>
      </c>
      <c r="AG82" s="83">
        <f t="shared" si="38"/>
        <v>8686758043</v>
      </c>
      <c r="AH82" s="83">
        <f t="shared" si="38"/>
        <v>9633023140</v>
      </c>
      <c r="AI82" s="83">
        <f t="shared" si="38"/>
        <v>7504849327</v>
      </c>
      <c r="AJ82" s="83">
        <f t="shared" si="38"/>
        <v>8684934641</v>
      </c>
      <c r="AK82" s="83">
        <f t="shared" si="38"/>
        <v>8253212987</v>
      </c>
      <c r="AL82" s="83">
        <f t="shared" si="38"/>
        <v>9882302545</v>
      </c>
      <c r="AM82" s="83">
        <f t="shared" si="38"/>
        <v>10370022188</v>
      </c>
      <c r="AN82" s="83">
        <f>AN36+AN37</f>
        <v>11247769512</v>
      </c>
    </row>
    <row r="83" spans="29:40" ht="15" customHeight="1">
      <c r="AC83" s="84" t="s">
        <v>1295</v>
      </c>
      <c r="AD83" s="83">
        <f>AD51+AD52+AD53</f>
        <v>-5710213690</v>
      </c>
      <c r="AE83" s="83">
        <f t="shared" ref="AE83:AM83" si="39">AE51+AE52+AE53</f>
        <v>-5652046134</v>
      </c>
      <c r="AF83" s="83">
        <f t="shared" si="39"/>
        <v>-5498706714</v>
      </c>
      <c r="AG83" s="83">
        <f t="shared" si="39"/>
        <v>-5588982401</v>
      </c>
      <c r="AH83" s="83">
        <f t="shared" si="39"/>
        <v>-5646349790</v>
      </c>
      <c r="AI83" s="83">
        <f t="shared" si="39"/>
        <v>-5278873103</v>
      </c>
      <c r="AJ83" s="83">
        <f t="shared" si="39"/>
        <v>-4719801419</v>
      </c>
      <c r="AK83" s="83">
        <f t="shared" si="39"/>
        <v>-4979231197</v>
      </c>
      <c r="AL83" s="83">
        <f t="shared" si="39"/>
        <v>-5242408535</v>
      </c>
      <c r="AM83" s="83">
        <f t="shared" si="39"/>
        <v>-5385468876</v>
      </c>
      <c r="AN83" s="83">
        <f>AN51+AN52+AN53</f>
        <v>-5356023792</v>
      </c>
    </row>
  </sheetData>
  <sheetProtection algorithmName="SHA-512" hashValue="GqxKeq1/Xkny98NM3+hbL7Iv6bqsmrTJNC1aaDOADEBhzdUSLT/rzr/x/VEzFG43fm9m5Isit9wAgRCAFLV91w==" saltValue="WHTXVlcQFA9f6iVszPGHJQ==" spinCount="100000" sheet="1" objects="1" scenarios="1"/>
  <customSheetViews>
    <customSheetView guid="{06451E13-97D0-44F4-875B-E8D80B2F1CF1}" scale="85" showPageBreaks="1" fitToPage="1" printArea="1" hiddenRows="1" hiddenColumns="1" view="pageBreakPreview" topLeftCell="AA19">
      <selection activeCell="AC34" sqref="AC34"/>
      <pageMargins left="0" right="0" top="0" bottom="0" header="0" footer="0"/>
      <printOptions horizontalCentered="1" verticalCentered="1"/>
      <pageSetup paperSize="9" scale="58" orientation="landscape" r:id="rId1"/>
      <headerFooter scaleWithDoc="0" alignWithMargins="0">
        <oddFooter>&amp;C&amp;"Arial,標準"&amp;12 20</oddFooter>
      </headerFooter>
    </customSheetView>
  </customSheetViews>
  <mergeCells count="14">
    <mergeCell ref="O5:O6"/>
    <mergeCell ref="N5:N6"/>
    <mergeCell ref="M5:M6"/>
    <mergeCell ref="B5:E6"/>
    <mergeCell ref="I5:I6"/>
    <mergeCell ref="F5:H6"/>
    <mergeCell ref="L5:L6"/>
    <mergeCell ref="J5:J6"/>
    <mergeCell ref="K5:K6"/>
    <mergeCell ref="S5:S6"/>
    <mergeCell ref="R5:R6"/>
    <mergeCell ref="Q5:Q6"/>
    <mergeCell ref="P5:P6"/>
    <mergeCell ref="Z5:AC6"/>
  </mergeCells>
  <phoneticPr fontId="17"/>
  <conditionalFormatting sqref="AD32:AN32 AD15:AN15">
    <cfRule type="cellIs" dxfId="36" priority="4" stopIfTrue="1" operator="notEqual">
      <formula>SUM(AD16:AD20)</formula>
    </cfRule>
  </conditionalFormatting>
  <conditionalFormatting sqref="AD45:AN45">
    <cfRule type="cellIs" dxfId="35" priority="5" stopIfTrue="1" operator="notEqual">
      <formula>SUM(AD46:AD49)</formula>
    </cfRule>
  </conditionalFormatting>
  <conditionalFormatting sqref="AD24:AN24">
    <cfRule type="cellIs" dxfId="34" priority="6" stopIfTrue="1" operator="notEqual">
      <formula>SUM(AD25:AD30)</formula>
    </cfRule>
  </conditionalFormatting>
  <conditionalFormatting sqref="AD44:AN44">
    <cfRule type="cellIs" dxfId="33" priority="9" stopIfTrue="1" operator="notEqual">
      <formula>AD32+AD38</formula>
    </cfRule>
  </conditionalFormatting>
  <conditionalFormatting sqref="AD50:AK50">
    <cfRule type="cellIs" dxfId="32" priority="3" stopIfTrue="1" operator="notEqual">
      <formula>SUM(AD$51:AD$53)</formula>
    </cfRule>
  </conditionalFormatting>
  <conditionalFormatting sqref="AD56:AN56">
    <cfRule type="cellIs" dxfId="31" priority="10" stopIfTrue="1" operator="notEqual">
      <formula>AD45+AD50+AD54+AD55</formula>
    </cfRule>
  </conditionalFormatting>
  <conditionalFormatting sqref="AD57:AN57">
    <cfRule type="cellIs" dxfId="30" priority="11" stopIfTrue="1" operator="notEqual">
      <formula>AD44+AD56</formula>
    </cfRule>
  </conditionalFormatting>
  <conditionalFormatting sqref="AH54:AI54 AD54:AF54 AD26:AF26 AH26:AI26">
    <cfRule type="cellIs" dxfId="29" priority="2" stopIfTrue="1" operator="notEqual">
      <formula>$P$13</formula>
    </cfRule>
  </conditionalFormatting>
  <printOptions horizontalCentered="1" verticalCentered="1"/>
  <pageMargins left="0" right="0" top="0" bottom="0" header="0" footer="0"/>
  <pageSetup paperSize="9" scale="59" orientation="landscape" r:id="rId2"/>
  <headerFooter scaleWithDoc="0" alignWithMargins="0">
    <oddFooter>&amp;C&amp;"Arial,標準"&amp;12 20</oddFooter>
  </headerFooter>
  <drawing r:id="rId3"/>
  <legacyDrawing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AQ244"/>
  <sheetViews>
    <sheetView view="pageBreakPreview" zoomScale="55" zoomScaleNormal="70" zoomScaleSheetLayoutView="55" workbookViewId="0">
      <selection activeCell="R1" sqref="R1:BG1048576"/>
    </sheetView>
  </sheetViews>
  <sheetFormatPr defaultColWidth="9.140625" defaultRowHeight="16.5" outlineLevelRow="1" outlineLevelCol="1"/>
  <cols>
    <col min="1" max="1" width="13.85546875" style="80" customWidth="1"/>
    <col min="2" max="2" width="10.85546875" style="582" customWidth="1"/>
    <col min="3" max="3" width="29.140625" style="581" customWidth="1"/>
    <col min="4" max="4" width="3.85546875" style="582" customWidth="1"/>
    <col min="5" max="5" width="38.85546875" style="581" customWidth="1"/>
    <col min="6" max="8" width="10.85546875" style="80" customWidth="1"/>
    <col min="9" max="9" width="10.85546875" style="442" customWidth="1"/>
    <col min="10" max="10" width="10.85546875" style="80" customWidth="1"/>
    <col min="11" max="11" width="10.85546875" style="442" customWidth="1"/>
    <col min="12" max="13" width="10.85546875" style="80" customWidth="1"/>
    <col min="14" max="16" width="10.85546875" style="442" customWidth="1"/>
    <col min="17" max="17" width="14.85546875" style="442" customWidth="1"/>
    <col min="18" max="18" width="8.42578125" style="442" hidden="1" customWidth="1"/>
    <col min="19" max="19" width="4.140625" style="80" hidden="1" customWidth="1"/>
    <col min="20" max="20" width="5.85546875" style="79" hidden="1" customWidth="1"/>
    <col min="21" max="21" width="5.42578125" style="80" hidden="1" customWidth="1"/>
    <col min="22" max="22" width="28" style="80" hidden="1" customWidth="1"/>
    <col min="23" max="27" width="16" style="80" hidden="1" customWidth="1" outlineLevel="1"/>
    <col min="28" max="28" width="16" style="442" hidden="1" customWidth="1" outlineLevel="1"/>
    <col min="29" max="30" width="16" style="80" hidden="1" customWidth="1" outlineLevel="1"/>
    <col min="31" max="31" width="16" style="442" hidden="1" customWidth="1" outlineLevel="1"/>
    <col min="32" max="33" width="16" style="442" hidden="1" customWidth="1"/>
    <col min="34" max="34" width="5.85546875" style="442" hidden="1" customWidth="1"/>
    <col min="35" max="35" width="11.28515625" style="80" hidden="1" customWidth="1"/>
    <col min="36" max="36" width="0" style="80" hidden="1" customWidth="1"/>
    <col min="37" max="37" width="14.5703125" style="80" hidden="1" customWidth="1"/>
    <col min="38" max="59" width="0" style="80" hidden="1" customWidth="1"/>
    <col min="60" max="16384" width="9.140625" style="80"/>
  </cols>
  <sheetData>
    <row r="1" spans="1:43" ht="68.25" customHeight="1">
      <c r="A1" s="668"/>
      <c r="F1" s="668"/>
      <c r="G1" s="668"/>
      <c r="H1" s="668"/>
      <c r="I1" s="906"/>
      <c r="J1" s="668"/>
      <c r="K1" s="906"/>
      <c r="L1" s="668"/>
      <c r="M1" s="668"/>
      <c r="N1" s="906"/>
      <c r="O1" s="906"/>
      <c r="P1" s="906"/>
      <c r="Q1" s="906"/>
    </row>
    <row r="2" spans="1:43" s="83" customFormat="1" ht="20.100000000000001" customHeight="1">
      <c r="A2" s="1514"/>
      <c r="B2" s="614"/>
      <c r="C2" s="615"/>
      <c r="D2" s="614"/>
      <c r="E2" s="615"/>
      <c r="F2" s="1484"/>
      <c r="G2" s="1484"/>
      <c r="H2" s="1484"/>
      <c r="I2" s="1516"/>
      <c r="J2" s="1484"/>
      <c r="K2" s="1516"/>
      <c r="L2" s="1484"/>
      <c r="M2" s="1484"/>
      <c r="N2" s="1516"/>
      <c r="O2" s="1516"/>
      <c r="P2" s="1516"/>
      <c r="Q2" s="1516"/>
      <c r="R2" s="442"/>
      <c r="S2" s="80"/>
      <c r="T2" s="79"/>
      <c r="U2" s="80"/>
      <c r="V2" s="80"/>
      <c r="W2" s="80"/>
      <c r="X2" s="80"/>
      <c r="Y2" s="80"/>
      <c r="Z2" s="80"/>
      <c r="AA2" s="80"/>
      <c r="AB2" s="442"/>
      <c r="AC2" s="80"/>
      <c r="AD2" s="80"/>
      <c r="AE2" s="442"/>
      <c r="AF2" s="442"/>
      <c r="AG2" s="442"/>
      <c r="AH2" s="442"/>
      <c r="AI2" s="80"/>
      <c r="AJ2" s="80"/>
      <c r="AK2" s="80"/>
      <c r="AL2" s="80"/>
      <c r="AM2" s="80"/>
    </row>
    <row r="3" spans="1:43" s="83" customFormat="1" ht="18.75" customHeight="1">
      <c r="A3" s="1484"/>
      <c r="B3" s="615"/>
      <c r="C3" s="615"/>
      <c r="D3" s="615"/>
      <c r="E3" s="615"/>
      <c r="F3" s="1484"/>
      <c r="G3" s="1484"/>
      <c r="H3" s="1484"/>
      <c r="I3" s="1517"/>
      <c r="J3" s="1484"/>
      <c r="K3" s="1517"/>
      <c r="L3" s="1484"/>
      <c r="M3" s="1484"/>
      <c r="N3" s="1517"/>
      <c r="O3" s="1517"/>
      <c r="P3" s="1517"/>
      <c r="Q3" s="1517"/>
      <c r="T3" s="84"/>
      <c r="U3" s="84"/>
      <c r="AB3" s="392"/>
      <c r="AE3" s="392"/>
      <c r="AF3" s="392"/>
      <c r="AG3" s="392"/>
      <c r="AH3" s="392"/>
    </row>
    <row r="4" spans="1:43" s="394" customFormat="1" ht="18.75" customHeight="1">
      <c r="A4" s="1518"/>
      <c r="B4" s="1782"/>
      <c r="C4" s="1783"/>
      <c r="D4" s="1782"/>
      <c r="E4" s="1783"/>
      <c r="F4" s="1518"/>
      <c r="G4" s="1518"/>
      <c r="H4" s="1518"/>
      <c r="I4" s="1519"/>
      <c r="J4" s="1518"/>
      <c r="K4" s="1519"/>
      <c r="L4" s="1518"/>
      <c r="M4" s="1518"/>
      <c r="N4" s="1519"/>
      <c r="O4" s="1519"/>
      <c r="P4" s="1531" t="s">
        <v>1682</v>
      </c>
      <c r="Q4" s="1519"/>
      <c r="R4" s="83"/>
      <c r="S4" s="83"/>
      <c r="T4" s="83"/>
      <c r="U4" s="83"/>
      <c r="V4" s="83"/>
      <c r="W4" s="83"/>
      <c r="X4" s="83"/>
      <c r="Y4" s="83"/>
      <c r="Z4" s="83"/>
      <c r="AA4" s="83"/>
      <c r="AB4" s="393"/>
      <c r="AC4" s="83"/>
      <c r="AD4" s="83"/>
      <c r="AE4" s="393"/>
      <c r="AF4" s="393"/>
      <c r="AG4" s="393"/>
      <c r="AH4" s="393"/>
      <c r="AI4" s="83"/>
      <c r="AJ4" s="83"/>
      <c r="AK4" s="83"/>
      <c r="AL4" s="83"/>
      <c r="AM4" s="83"/>
    </row>
    <row r="5" spans="1:43" s="183" customFormat="1" ht="24" customHeight="1" thickBot="1">
      <c r="A5" s="1518"/>
      <c r="B5" s="1782"/>
      <c r="C5" s="1783"/>
      <c r="D5" s="1782"/>
      <c r="E5" s="1783"/>
      <c r="F5" s="2206">
        <f>W6</f>
        <v>2016.3</v>
      </c>
      <c r="G5" s="2206">
        <f t="shared" ref="G5:P5" si="0">X6</f>
        <v>2017.3</v>
      </c>
      <c r="H5" s="2206">
        <f t="shared" si="0"/>
        <v>2018.3</v>
      </c>
      <c r="I5" s="2206">
        <f t="shared" si="0"/>
        <v>2019.3</v>
      </c>
      <c r="J5" s="2206">
        <f t="shared" si="0"/>
        <v>2020.3</v>
      </c>
      <c r="K5" s="2206">
        <f t="shared" si="0"/>
        <v>2021.3</v>
      </c>
      <c r="L5" s="2206">
        <f t="shared" si="0"/>
        <v>2022.3</v>
      </c>
      <c r="M5" s="2206">
        <f t="shared" si="0"/>
        <v>2023.3</v>
      </c>
      <c r="N5" s="2206">
        <f t="shared" si="0"/>
        <v>2024.3</v>
      </c>
      <c r="O5" s="2206">
        <f t="shared" si="0"/>
        <v>2025.3</v>
      </c>
      <c r="P5" s="2306">
        <f t="shared" si="0"/>
        <v>2026.3</v>
      </c>
      <c r="Q5" s="1519"/>
      <c r="R5" s="394"/>
      <c r="T5" s="395" t="s">
        <v>253</v>
      </c>
      <c r="U5" s="394"/>
      <c r="V5" s="394"/>
      <c r="W5" s="394"/>
      <c r="X5" s="394"/>
      <c r="Y5" s="394"/>
      <c r="Z5" s="394"/>
      <c r="AA5" s="394"/>
      <c r="AB5" s="396"/>
      <c r="AC5" s="394"/>
      <c r="AD5" s="394"/>
      <c r="AE5" s="396"/>
      <c r="AF5" s="396"/>
      <c r="AG5" s="10" t="s">
        <v>341</v>
      </c>
      <c r="AH5" s="396"/>
      <c r="AI5" s="394"/>
      <c r="AJ5" s="394"/>
      <c r="AK5" s="394"/>
      <c r="AL5" s="394"/>
      <c r="AM5" s="394"/>
    </row>
    <row r="6" spans="1:43" s="400" customFormat="1" ht="18.95" customHeight="1" thickBot="1">
      <c r="A6" s="1518"/>
      <c r="B6" s="2629"/>
      <c r="C6" s="2629"/>
      <c r="D6" s="2629"/>
      <c r="E6" s="2629"/>
      <c r="F6" s="2207"/>
      <c r="G6" s="2207"/>
      <c r="H6" s="2207"/>
      <c r="I6" s="2207"/>
      <c r="J6" s="2207"/>
      <c r="K6" s="2207"/>
      <c r="L6" s="2207"/>
      <c r="M6" s="2207"/>
      <c r="N6" s="2207"/>
      <c r="O6" s="2207"/>
      <c r="P6" s="2450"/>
      <c r="Q6" s="1520"/>
      <c r="R6" s="183"/>
      <c r="S6" s="183"/>
      <c r="T6" s="2627"/>
      <c r="U6" s="2628"/>
      <c r="V6" s="2628"/>
      <c r="W6" s="397">
        <f>W61</f>
        <v>2016.3</v>
      </c>
      <c r="X6" s="397">
        <f t="shared" ref="X6:AG6" si="1">X61</f>
        <v>2017.3</v>
      </c>
      <c r="Y6" s="397">
        <f t="shared" si="1"/>
        <v>2018.3</v>
      </c>
      <c r="Z6" s="397">
        <f t="shared" si="1"/>
        <v>2019.3</v>
      </c>
      <c r="AA6" s="397">
        <f t="shared" si="1"/>
        <v>2020.3</v>
      </c>
      <c r="AB6" s="397">
        <f t="shared" si="1"/>
        <v>2021.3</v>
      </c>
      <c r="AC6" s="397">
        <f t="shared" si="1"/>
        <v>2022.3</v>
      </c>
      <c r="AD6" s="397">
        <f t="shared" si="1"/>
        <v>2023.3</v>
      </c>
      <c r="AE6" s="397">
        <f t="shared" si="1"/>
        <v>2024.3</v>
      </c>
      <c r="AF6" s="397">
        <f t="shared" si="1"/>
        <v>2025.3</v>
      </c>
      <c r="AG6" s="398">
        <f t="shared" si="1"/>
        <v>2026.3</v>
      </c>
      <c r="AH6" s="399"/>
      <c r="AI6" s="183"/>
      <c r="AJ6" s="183"/>
      <c r="AK6" s="183"/>
      <c r="AL6" s="183"/>
      <c r="AM6" s="183"/>
    </row>
    <row r="7" spans="1:43" s="400" customFormat="1" ht="15.95" customHeight="1" thickTop="1">
      <c r="A7" s="1002"/>
      <c r="B7" s="2612" t="s">
        <v>1387</v>
      </c>
      <c r="C7" s="2612"/>
      <c r="D7" s="2612"/>
      <c r="E7" s="2612"/>
      <c r="F7" s="1521"/>
      <c r="G7" s="1521"/>
      <c r="H7" s="1521"/>
      <c r="I7" s="1522"/>
      <c r="J7" s="1521"/>
      <c r="K7" s="1522"/>
      <c r="L7" s="1521"/>
      <c r="M7" s="1521"/>
      <c r="N7" s="1522"/>
      <c r="O7" s="1522"/>
      <c r="P7" s="1522"/>
      <c r="Q7" s="1523"/>
      <c r="T7" s="401" t="s">
        <v>163</v>
      </c>
      <c r="U7" s="404"/>
      <c r="V7" s="405"/>
      <c r="W7" s="406"/>
      <c r="X7" s="406"/>
      <c r="Y7" s="406"/>
      <c r="Z7" s="406"/>
      <c r="AA7" s="406"/>
      <c r="AB7" s="407"/>
      <c r="AC7" s="406"/>
      <c r="AD7" s="406"/>
      <c r="AE7" s="407"/>
      <c r="AF7" s="408"/>
      <c r="AG7" s="403"/>
      <c r="AH7" s="402"/>
      <c r="AQ7" s="400">
        <f>AM8-AL8</f>
        <v>0</v>
      </c>
    </row>
    <row r="8" spans="1:43" s="400" customFormat="1" ht="15.95" customHeight="1">
      <c r="A8" s="1002"/>
      <c r="B8" s="2070"/>
      <c r="C8" s="2617" t="s">
        <v>1388</v>
      </c>
      <c r="D8" s="2618"/>
      <c r="E8" s="2618"/>
      <c r="F8" s="1524">
        <f t="shared" ref="F8:F24" si="2">IF(AND(W8&lt;0,-1000000&lt;=W8),"▲"&amp;IF(W8=0,"-",ROUNDDOWN(W8,-6)/1000000),IF(W8=0,"-",ROUNDDOWN(W8,-6)/1000000))</f>
        <v>34418</v>
      </c>
      <c r="G8" s="1524">
        <f>IF(AND(X8&lt;0,-1000000&lt;=X8),"▲"&amp;IF(X8=0,"-",ROUNDDOWN(X8,-6)/1000000),IF(X8=0,"-",ROUNDDOWN(X8,-6)/1000000))</f>
        <v>32481</v>
      </c>
      <c r="H8" s="1524">
        <f t="shared" ref="H8:H40" si="3">IF(AND(Y8&lt;0,-1000000&lt;=Y8),"▲"&amp;IF(Y8=0,"-",ROUNDDOWN(Y8,-6)/1000000),IF(Y8=0,"-",ROUNDDOWN(Y8,-6)/1000000))</f>
        <v>36657</v>
      </c>
      <c r="I8" s="1524">
        <f t="shared" ref="I8:I40" si="4">IF(AND(Z8&lt;0,-1000000&lt;=Z8),"▲"&amp;IF(Z8=0,"-",ROUNDDOWN(Z8,-6)/1000000),IF(Z8=0,"-",ROUNDDOWN(Z8,-6)/1000000))</f>
        <v>38330</v>
      </c>
      <c r="J8" s="1524">
        <f t="shared" ref="J8:J40" si="5">IF(AND(AA8&lt;0,-1000000&lt;=AA8),"▲"&amp;IF(AA8=0,"-",ROUNDDOWN(AA8,-6)/1000000),IF(AA8=0,"-",ROUNDDOWN(AA8,-6)/1000000))</f>
        <v>32736</v>
      </c>
      <c r="K8" s="1524">
        <f t="shared" ref="K8:K40" si="6">IF(AND(AB8&lt;0,-1000000&lt;=AB8),"▲"&amp;IF(AB8=0,"-",ROUNDDOWN(AB8,-6)/1000000),IF(AB8=0,"-",ROUNDDOWN(AB8,-6)/1000000))</f>
        <v>15220</v>
      </c>
      <c r="L8" s="1524">
        <f t="shared" ref="L8:L40" si="7">IF(AND(AC8&lt;0,-1000000&lt;=AC8),"▲"&amp;IF(AC8=0,"-",ROUNDDOWN(AC8,-6)/1000000),IF(AC8=0,"-",ROUNDDOWN(AC8,-6)/1000000))</f>
        <v>43874</v>
      </c>
      <c r="M8" s="1524">
        <f t="shared" ref="M8:M40" si="8">IF(AND(AD8&lt;0,-1000000&lt;=AD8),"▲"&amp;IF(AD8=0,"-",ROUNDDOWN(AD8,-6)/1000000),IF(AD8=0,"-",ROUNDDOWN(AD8,-6)/1000000))</f>
        <v>44501</v>
      </c>
      <c r="N8" s="1524">
        <f t="shared" ref="N8:N40" si="9">IF(AND(AE8&lt;0,-1000000&lt;=AE8),"▲"&amp;IF(AE8=0,"-",ROUNDDOWN(AE8,-6)/1000000),IF(AE8=0,"-",ROUNDDOWN(AE8,-6)/1000000))</f>
        <v>48658</v>
      </c>
      <c r="O8" s="1524">
        <f>IF(AND(AF8&lt;0,-1000000&lt;=AF8),"▲"&amp;IF(AF8=0,"-",ROUNDDOWN(AF8,-6)/1000000),IF(AF8=0,"-",ROUNDDOWN(AF8,-6)/1000000))</f>
        <v>54955</v>
      </c>
      <c r="P8" s="1524">
        <f>IF(AND(AG8&lt;0,-1000000&lt;=AG8),"▲"&amp;IF(AG8=0,"-",ROUNDDOWN(AG8,-6)/1000000),IF(AG8=0,"-",ROUNDDOWN(AG8,-6)/1000000))</f>
        <v>60578</v>
      </c>
      <c r="Q8" s="1523"/>
      <c r="S8" s="78">
        <v>1</v>
      </c>
      <c r="T8" s="401"/>
      <c r="U8" s="78"/>
      <c r="V8" s="409" t="str">
        <f>IF(RIGHT(AG6,1)="3","税金等調整前当期純利益","税金等調整前四半期純利益")</f>
        <v>税金等調整前当期純利益</v>
      </c>
      <c r="W8" s="411">
        <f t="shared" ref="W8:AG17" si="10">SUMIF($U$63:$U$226,$S8,W$63:W$226)</f>
        <v>34418242903</v>
      </c>
      <c r="X8" s="411">
        <f t="shared" si="10"/>
        <v>32481645826</v>
      </c>
      <c r="Y8" s="411">
        <f t="shared" si="10"/>
        <v>36657234366</v>
      </c>
      <c r="Z8" s="411">
        <f t="shared" si="10"/>
        <v>38330363838</v>
      </c>
      <c r="AA8" s="411">
        <f t="shared" si="10"/>
        <v>32736018342</v>
      </c>
      <c r="AB8" s="411">
        <f t="shared" si="10"/>
        <v>15220602389</v>
      </c>
      <c r="AC8" s="411">
        <f t="shared" si="10"/>
        <v>43874819398</v>
      </c>
      <c r="AD8" s="411">
        <f t="shared" si="10"/>
        <v>44501759411</v>
      </c>
      <c r="AE8" s="411">
        <f t="shared" si="10"/>
        <v>48658486644</v>
      </c>
      <c r="AF8" s="412">
        <f t="shared" si="10"/>
        <v>54955320204</v>
      </c>
      <c r="AG8" s="413">
        <f t="shared" si="10"/>
        <v>60578674833</v>
      </c>
      <c r="AH8" s="410"/>
    </row>
    <row r="9" spans="1:43" s="400" customFormat="1" ht="15.95" customHeight="1">
      <c r="A9" s="1002"/>
      <c r="B9" s="2070"/>
      <c r="C9" s="2619" t="s">
        <v>1389</v>
      </c>
      <c r="D9" s="2620"/>
      <c r="E9" s="2620"/>
      <c r="F9" s="1808">
        <f t="shared" si="2"/>
        <v>3413</v>
      </c>
      <c r="G9" s="1808">
        <f>IF(AND(X9&lt;0,-1000000&lt;=X9),"▲"&amp;IF(X9=0,"-",ROUNDDOWN(X9,-6)/1000000),IF(X9=0,"-",ROUNDDOWN(X9,-6)/1000000))</f>
        <v>4691</v>
      </c>
      <c r="H9" s="1808">
        <f t="shared" si="3"/>
        <v>5066</v>
      </c>
      <c r="I9" s="1808">
        <f t="shared" si="4"/>
        <v>5372</v>
      </c>
      <c r="J9" s="1808">
        <f t="shared" si="5"/>
        <v>5099</v>
      </c>
      <c r="K9" s="1808">
        <f t="shared" si="6"/>
        <v>5372</v>
      </c>
      <c r="L9" s="1808">
        <f t="shared" si="7"/>
        <v>5090</v>
      </c>
      <c r="M9" s="1808">
        <f t="shared" si="8"/>
        <v>4754</v>
      </c>
      <c r="N9" s="1808">
        <f t="shared" si="9"/>
        <v>4706</v>
      </c>
      <c r="O9" s="1808">
        <f t="shared" ref="O9:O15" si="11">IF(AND(AF9&lt;0,-1000000&lt;=AF9),"▲"&amp;IF(AF9=0,"-",ROUNDDOWN(AF9,-6)/1000000),IF(AF9=0,"-",ROUNDDOWN(AF9,-6)/1000000))</f>
        <v>4748</v>
      </c>
      <c r="P9" s="1808">
        <f t="shared" ref="P9:P40" si="12">IF(AND(AG9&lt;0,-1000000&lt;=AG9),"▲"&amp;IF(AG9=0,"-",ROUNDDOWN(AG9,-6)/1000000),IF(AG9=0,"-",ROUNDDOWN(AG9,-6)/1000000))</f>
        <v>5193</v>
      </c>
      <c r="Q9" s="1523"/>
      <c r="S9" s="78">
        <v>2</v>
      </c>
      <c r="T9" s="401"/>
      <c r="U9" s="78"/>
      <c r="V9" s="409" t="s">
        <v>354</v>
      </c>
      <c r="W9" s="411">
        <f t="shared" si="10"/>
        <v>3413849522</v>
      </c>
      <c r="X9" s="411">
        <f t="shared" si="10"/>
        <v>4691864417</v>
      </c>
      <c r="Y9" s="411">
        <f t="shared" si="10"/>
        <v>5066772512</v>
      </c>
      <c r="Z9" s="411">
        <f t="shared" si="10"/>
        <v>5372035399</v>
      </c>
      <c r="AA9" s="411">
        <f t="shared" si="10"/>
        <v>5099646845</v>
      </c>
      <c r="AB9" s="411">
        <f t="shared" si="10"/>
        <v>5372976357</v>
      </c>
      <c r="AC9" s="411">
        <f t="shared" si="10"/>
        <v>5090598794</v>
      </c>
      <c r="AD9" s="411">
        <f t="shared" si="10"/>
        <v>4754571547</v>
      </c>
      <c r="AE9" s="411">
        <f t="shared" si="10"/>
        <v>4706617893</v>
      </c>
      <c r="AF9" s="412">
        <f t="shared" si="10"/>
        <v>4748527469</v>
      </c>
      <c r="AG9" s="413">
        <f t="shared" si="10"/>
        <v>5193512159</v>
      </c>
      <c r="AH9" s="410"/>
    </row>
    <row r="10" spans="1:43" s="400" customFormat="1" ht="15.95" customHeight="1">
      <c r="A10" s="1002"/>
      <c r="B10" s="2070"/>
      <c r="C10" s="2621" t="s">
        <v>1390</v>
      </c>
      <c r="D10" s="2622"/>
      <c r="E10" s="2622"/>
      <c r="F10" s="1807" t="str">
        <f t="shared" si="2"/>
        <v>-</v>
      </c>
      <c r="G10" s="1807">
        <f>IF(AND(X10&lt;0,-1000000&lt;=X10),"▲"&amp;IF(X10=0,"-",ROUNDDOWN(X10,-6)/1000000),IF(X10=0,"-",ROUNDDOWN(X10,-6)/1000000))</f>
        <v>29</v>
      </c>
      <c r="H10" s="1807">
        <f t="shared" si="3"/>
        <v>10</v>
      </c>
      <c r="I10" s="1807">
        <f t="shared" si="4"/>
        <v>3</v>
      </c>
      <c r="J10" s="1807">
        <f t="shared" si="5"/>
        <v>3873</v>
      </c>
      <c r="K10" s="1807">
        <f t="shared" si="6"/>
        <v>18812</v>
      </c>
      <c r="L10" s="1807" t="str">
        <f t="shared" si="7"/>
        <v>-</v>
      </c>
      <c r="M10" s="1807" t="str">
        <f t="shared" si="8"/>
        <v>-</v>
      </c>
      <c r="N10" s="1807" t="str">
        <f t="shared" si="9"/>
        <v>-</v>
      </c>
      <c r="O10" s="1807" t="str">
        <f t="shared" si="11"/>
        <v>-</v>
      </c>
      <c r="P10" s="1807" t="str">
        <f>IF(AND(AG10&lt;0,-1000000&lt;=AG10),"▲"&amp;IF(AG10=0,"-",ROUNDDOWN(AG10,-6)/1000000),IF(AG10=0,"-",ROUNDDOWN(AG10,-6)/1000000))</f>
        <v>-</v>
      </c>
      <c r="Q10" s="1523"/>
      <c r="S10" s="78">
        <v>5</v>
      </c>
      <c r="T10" s="401"/>
      <c r="U10" s="78"/>
      <c r="V10" s="409" t="s">
        <v>36</v>
      </c>
      <c r="W10" s="411">
        <f t="shared" si="10"/>
        <v>0</v>
      </c>
      <c r="X10" s="411">
        <f t="shared" si="10"/>
        <v>29314223</v>
      </c>
      <c r="Y10" s="411">
        <f t="shared" si="10"/>
        <v>10259165</v>
      </c>
      <c r="Z10" s="411">
        <f t="shared" si="10"/>
        <v>3044858</v>
      </c>
      <c r="AA10" s="411">
        <f t="shared" si="10"/>
        <v>3873702858</v>
      </c>
      <c r="AB10" s="411">
        <f t="shared" si="10"/>
        <v>18812796052</v>
      </c>
      <c r="AC10" s="411">
        <f t="shared" si="10"/>
        <v>0</v>
      </c>
      <c r="AD10" s="411">
        <f t="shared" si="10"/>
        <v>0</v>
      </c>
      <c r="AE10" s="411">
        <f t="shared" si="10"/>
        <v>0</v>
      </c>
      <c r="AF10" s="412">
        <f t="shared" si="10"/>
        <v>0</v>
      </c>
      <c r="AG10" s="413">
        <f t="shared" si="10"/>
        <v>0</v>
      </c>
      <c r="AH10" s="410"/>
    </row>
    <row r="11" spans="1:43" s="400" customFormat="1" ht="15.95" customHeight="1">
      <c r="A11" s="1002"/>
      <c r="B11" s="2070"/>
      <c r="C11" s="2619" t="s">
        <v>1391</v>
      </c>
      <c r="D11" s="2620"/>
      <c r="E11" s="2620"/>
      <c r="F11" s="1808">
        <f t="shared" si="2"/>
        <v>20</v>
      </c>
      <c r="G11" s="1808">
        <f>IF(AND(X11&lt;0,-1000000&lt;=X11),"▲"&amp;IF(X11=0,"-",ROUNDDOWN(X11,-6)/1000000),IF(X11=0,"-",ROUNDDOWN(X11,-6)/1000000))</f>
        <v>83</v>
      </c>
      <c r="H11" s="1808">
        <f t="shared" si="3"/>
        <v>1033</v>
      </c>
      <c r="I11" s="1808">
        <f t="shared" si="4"/>
        <v>1983</v>
      </c>
      <c r="J11" s="1808">
        <f t="shared" si="5"/>
        <v>1983</v>
      </c>
      <c r="K11" s="1808">
        <f t="shared" si="6"/>
        <v>1741</v>
      </c>
      <c r="L11" s="1808">
        <f t="shared" si="7"/>
        <v>539</v>
      </c>
      <c r="M11" s="1808">
        <f t="shared" si="8"/>
        <v>539</v>
      </c>
      <c r="N11" s="1808">
        <f t="shared" si="9"/>
        <v>539</v>
      </c>
      <c r="O11" s="1808">
        <f t="shared" si="11"/>
        <v>539</v>
      </c>
      <c r="P11" s="1808">
        <f t="shared" si="12"/>
        <v>539</v>
      </c>
      <c r="Q11" s="1523"/>
      <c r="S11" s="78">
        <v>4</v>
      </c>
      <c r="T11" s="401"/>
      <c r="U11" s="78"/>
      <c r="V11" s="409" t="s">
        <v>157</v>
      </c>
      <c r="W11" s="411">
        <f t="shared" si="10"/>
        <v>20866787</v>
      </c>
      <c r="X11" s="411">
        <f t="shared" si="10"/>
        <v>83467151</v>
      </c>
      <c r="Y11" s="411">
        <f t="shared" si="10"/>
        <v>1033496411</v>
      </c>
      <c r="Z11" s="411">
        <f t="shared" si="10"/>
        <v>1983525673</v>
      </c>
      <c r="AA11" s="411">
        <f t="shared" si="10"/>
        <v>1983525674</v>
      </c>
      <c r="AB11" s="411">
        <f t="shared" si="10"/>
        <v>1741871426</v>
      </c>
      <c r="AC11" s="411">
        <f t="shared" si="10"/>
        <v>539780335</v>
      </c>
      <c r="AD11" s="411">
        <f t="shared" si="10"/>
        <v>539780329</v>
      </c>
      <c r="AE11" s="411">
        <f t="shared" si="10"/>
        <v>539780331</v>
      </c>
      <c r="AF11" s="412">
        <f t="shared" si="10"/>
        <v>539780329</v>
      </c>
      <c r="AG11" s="413">
        <f t="shared" si="10"/>
        <v>539780330</v>
      </c>
      <c r="AH11" s="410"/>
    </row>
    <row r="12" spans="1:43" s="400" customFormat="1" ht="15.95" customHeight="1">
      <c r="A12" s="1002"/>
      <c r="B12" s="2070"/>
      <c r="C12" s="2621" t="s">
        <v>1392</v>
      </c>
      <c r="D12" s="2622"/>
      <c r="E12" s="2622"/>
      <c r="F12" s="1807">
        <f t="shared" si="2"/>
        <v>-72</v>
      </c>
      <c r="G12" s="1807">
        <f t="shared" ref="G12:G40" si="13">IF(AND(X12&lt;0,-1000000&lt;=X12),"▲"&amp;IF(X12=0,"-",ROUNDDOWN(X12,-6)/1000000),IF(X12=0,"-",ROUNDDOWN(X12,-6)/1000000))</f>
        <v>-46</v>
      </c>
      <c r="H12" s="1807">
        <f t="shared" si="3"/>
        <v>-23</v>
      </c>
      <c r="I12" s="1807">
        <f t="shared" si="4"/>
        <v>-319</v>
      </c>
      <c r="J12" s="1807">
        <f t="shared" si="5"/>
        <v>-17</v>
      </c>
      <c r="K12" s="1807">
        <f t="shared" si="6"/>
        <v>-75</v>
      </c>
      <c r="L12" s="1807">
        <f t="shared" si="7"/>
        <v>-26</v>
      </c>
      <c r="M12" s="1807">
        <f t="shared" si="8"/>
        <v>-48</v>
      </c>
      <c r="N12" s="1807">
        <f t="shared" si="9"/>
        <v>-47</v>
      </c>
      <c r="O12" s="1807">
        <f t="shared" si="11"/>
        <v>-45</v>
      </c>
      <c r="P12" s="1807">
        <f t="shared" si="12"/>
        <v>-123</v>
      </c>
      <c r="Q12" s="1513"/>
      <c r="S12" s="78">
        <v>10</v>
      </c>
      <c r="T12" s="401"/>
      <c r="U12" s="78"/>
      <c r="V12" s="409" t="s">
        <v>220</v>
      </c>
      <c r="W12" s="411">
        <f t="shared" si="10"/>
        <v>-72293878</v>
      </c>
      <c r="X12" s="411">
        <f t="shared" si="10"/>
        <v>-46643015</v>
      </c>
      <c r="Y12" s="411">
        <f t="shared" si="10"/>
        <v>-23650716</v>
      </c>
      <c r="Z12" s="411">
        <f t="shared" si="10"/>
        <v>-319221044</v>
      </c>
      <c r="AA12" s="411">
        <f t="shared" si="10"/>
        <v>-17878377</v>
      </c>
      <c r="AB12" s="411">
        <f t="shared" si="10"/>
        <v>-75269059</v>
      </c>
      <c r="AC12" s="411">
        <f t="shared" si="10"/>
        <v>-26988721</v>
      </c>
      <c r="AD12" s="411">
        <f t="shared" si="10"/>
        <v>-48289998</v>
      </c>
      <c r="AE12" s="411">
        <f t="shared" si="10"/>
        <v>-47067897</v>
      </c>
      <c r="AF12" s="411">
        <f t="shared" si="10"/>
        <v>-45489993</v>
      </c>
      <c r="AG12" s="413">
        <f t="shared" si="10"/>
        <v>-123601956</v>
      </c>
      <c r="AH12" s="410"/>
    </row>
    <row r="13" spans="1:43" s="400" customFormat="1" ht="15.95" customHeight="1">
      <c r="A13" s="1002"/>
      <c r="B13" s="2070"/>
      <c r="C13" s="2619" t="s">
        <v>1393</v>
      </c>
      <c r="D13" s="2620"/>
      <c r="E13" s="2620"/>
      <c r="F13" s="1808">
        <f t="shared" si="2"/>
        <v>0</v>
      </c>
      <c r="G13" s="1808">
        <f t="shared" si="13"/>
        <v>1</v>
      </c>
      <c r="H13" s="1808">
        <f t="shared" si="3"/>
        <v>10</v>
      </c>
      <c r="I13" s="1808">
        <f t="shared" si="4"/>
        <v>11</v>
      </c>
      <c r="J13" s="1808">
        <f t="shared" si="5"/>
        <v>13</v>
      </c>
      <c r="K13" s="1808">
        <f t="shared" si="6"/>
        <v>13</v>
      </c>
      <c r="L13" s="1808">
        <f t="shared" si="7"/>
        <v>12</v>
      </c>
      <c r="M13" s="1808">
        <f t="shared" si="8"/>
        <v>11</v>
      </c>
      <c r="N13" s="1808">
        <f t="shared" si="9"/>
        <v>10</v>
      </c>
      <c r="O13" s="1808">
        <f t="shared" si="11"/>
        <v>9</v>
      </c>
      <c r="P13" s="1808">
        <f t="shared" si="12"/>
        <v>13</v>
      </c>
      <c r="Q13" s="1523"/>
      <c r="S13" s="78">
        <v>11</v>
      </c>
      <c r="T13" s="401"/>
      <c r="U13" s="78"/>
      <c r="V13" s="409" t="s">
        <v>221</v>
      </c>
      <c r="W13" s="411">
        <f t="shared" si="10"/>
        <v>508826</v>
      </c>
      <c r="X13" s="411">
        <f t="shared" si="10"/>
        <v>1247915</v>
      </c>
      <c r="Y13" s="411">
        <f t="shared" si="10"/>
        <v>10768327</v>
      </c>
      <c r="Z13" s="411">
        <f t="shared" si="10"/>
        <v>11322451</v>
      </c>
      <c r="AA13" s="411">
        <f t="shared" si="10"/>
        <v>13921274</v>
      </c>
      <c r="AB13" s="411">
        <f t="shared" si="10"/>
        <v>13918941</v>
      </c>
      <c r="AC13" s="411">
        <f t="shared" si="10"/>
        <v>12788770</v>
      </c>
      <c r="AD13" s="411">
        <f t="shared" si="10"/>
        <v>11521774</v>
      </c>
      <c r="AE13" s="411">
        <f t="shared" si="10"/>
        <v>10169165</v>
      </c>
      <c r="AF13" s="412">
        <f t="shared" si="10"/>
        <v>9984260</v>
      </c>
      <c r="AG13" s="413">
        <f t="shared" si="10"/>
        <v>13077228</v>
      </c>
      <c r="AH13" s="410"/>
    </row>
    <row r="14" spans="1:43" s="400" customFormat="1" ht="30.75" hidden="1" customHeight="1" outlineLevel="1">
      <c r="A14" s="1002"/>
      <c r="B14" s="2070"/>
      <c r="C14" s="2625" t="s">
        <v>1188</v>
      </c>
      <c r="D14" s="2622"/>
      <c r="E14" s="2622"/>
      <c r="F14" s="1807" t="str">
        <f t="shared" si="2"/>
        <v>-</v>
      </c>
      <c r="G14" s="1807" t="str">
        <f t="shared" si="13"/>
        <v>-</v>
      </c>
      <c r="H14" s="1807" t="str">
        <f t="shared" si="3"/>
        <v>-</v>
      </c>
      <c r="I14" s="1807" t="str">
        <f t="shared" si="4"/>
        <v>-</v>
      </c>
      <c r="J14" s="1807" t="str">
        <f t="shared" si="5"/>
        <v>-</v>
      </c>
      <c r="K14" s="1807" t="str">
        <f t="shared" si="6"/>
        <v>-</v>
      </c>
      <c r="L14" s="1807" t="str">
        <f t="shared" si="7"/>
        <v>-</v>
      </c>
      <c r="M14" s="1807" t="str">
        <f t="shared" si="8"/>
        <v>-</v>
      </c>
      <c r="N14" s="1807" t="str">
        <f t="shared" si="9"/>
        <v>-</v>
      </c>
      <c r="O14" s="1807" t="str">
        <f t="shared" si="11"/>
        <v>-</v>
      </c>
      <c r="P14" s="1807" t="str">
        <f t="shared" si="12"/>
        <v>-</v>
      </c>
      <c r="Q14" s="1523"/>
      <c r="S14" s="78">
        <v>6</v>
      </c>
      <c r="T14" s="401"/>
      <c r="U14" s="78"/>
      <c r="V14" s="409" t="s">
        <v>37</v>
      </c>
      <c r="W14" s="411">
        <f t="shared" si="10"/>
        <v>0</v>
      </c>
      <c r="X14" s="411">
        <f t="shared" si="10"/>
        <v>0</v>
      </c>
      <c r="Y14" s="411">
        <f t="shared" si="10"/>
        <v>0</v>
      </c>
      <c r="Z14" s="411">
        <f t="shared" si="10"/>
        <v>0</v>
      </c>
      <c r="AA14" s="411">
        <f t="shared" si="10"/>
        <v>0</v>
      </c>
      <c r="AB14" s="411">
        <f t="shared" si="10"/>
        <v>0</v>
      </c>
      <c r="AC14" s="411">
        <f t="shared" si="10"/>
        <v>0</v>
      </c>
      <c r="AD14" s="411">
        <f t="shared" si="10"/>
        <v>0</v>
      </c>
      <c r="AE14" s="411">
        <f t="shared" si="10"/>
        <v>0</v>
      </c>
      <c r="AF14" s="411">
        <f t="shared" si="10"/>
        <v>0</v>
      </c>
      <c r="AG14" s="413">
        <f t="shared" si="10"/>
        <v>0</v>
      </c>
      <c r="AH14" s="410"/>
    </row>
    <row r="15" spans="1:43" s="400" customFormat="1" ht="15.95" customHeight="1" collapsed="1">
      <c r="A15" s="1002"/>
      <c r="B15" s="2070"/>
      <c r="C15" s="2621" t="s">
        <v>1394</v>
      </c>
      <c r="D15" s="2622"/>
      <c r="E15" s="2622"/>
      <c r="F15" s="1807">
        <f t="shared" si="2"/>
        <v>886</v>
      </c>
      <c r="G15" s="1807">
        <f t="shared" si="13"/>
        <v>707</v>
      </c>
      <c r="H15" s="1807">
        <f t="shared" si="3"/>
        <v>603</v>
      </c>
      <c r="I15" s="1807">
        <f t="shared" si="4"/>
        <v>2214</v>
      </c>
      <c r="J15" s="1807">
        <f t="shared" si="5"/>
        <v>-2589</v>
      </c>
      <c r="K15" s="1807">
        <f t="shared" si="6"/>
        <v>2074</v>
      </c>
      <c r="L15" s="1807">
        <f t="shared" si="7"/>
        <v>1449</v>
      </c>
      <c r="M15" s="1807">
        <f t="shared" si="8"/>
        <v>2639</v>
      </c>
      <c r="N15" s="1807">
        <f t="shared" si="9"/>
        <v>9949</v>
      </c>
      <c r="O15" s="1807">
        <f t="shared" si="11"/>
        <v>-2993</v>
      </c>
      <c r="P15" s="1807">
        <f t="shared" si="12"/>
        <v>-1678</v>
      </c>
      <c r="Q15" s="1523"/>
      <c r="S15" s="78">
        <v>16</v>
      </c>
      <c r="T15" s="401"/>
      <c r="U15" s="78"/>
      <c r="V15" s="409" t="s">
        <v>206</v>
      </c>
      <c r="W15" s="411">
        <f t="shared" si="10"/>
        <v>886354510</v>
      </c>
      <c r="X15" s="411">
        <f t="shared" si="10"/>
        <v>707614634</v>
      </c>
      <c r="Y15" s="411">
        <f t="shared" si="10"/>
        <v>603906582</v>
      </c>
      <c r="Z15" s="411">
        <f t="shared" si="10"/>
        <v>2214279537</v>
      </c>
      <c r="AA15" s="411">
        <f t="shared" si="10"/>
        <v>-2589699865</v>
      </c>
      <c r="AB15" s="411">
        <f t="shared" si="10"/>
        <v>2074068609</v>
      </c>
      <c r="AC15" s="411">
        <f t="shared" si="10"/>
        <v>1449003456</v>
      </c>
      <c r="AD15" s="411">
        <f t="shared" si="10"/>
        <v>2639997785</v>
      </c>
      <c r="AE15" s="411">
        <f t="shared" si="10"/>
        <v>9949962527</v>
      </c>
      <c r="AF15" s="411">
        <f t="shared" si="10"/>
        <v>-2993221280</v>
      </c>
      <c r="AG15" s="413">
        <f t="shared" si="10"/>
        <v>-1678514918</v>
      </c>
      <c r="AH15" s="410"/>
    </row>
    <row r="16" spans="1:43" s="400" customFormat="1" ht="15.95" customHeight="1">
      <c r="A16" s="1002"/>
      <c r="B16" s="2070"/>
      <c r="C16" s="2619" t="s">
        <v>1395</v>
      </c>
      <c r="D16" s="2620"/>
      <c r="E16" s="2620"/>
      <c r="F16" s="1808">
        <f t="shared" si="2"/>
        <v>-54</v>
      </c>
      <c r="G16" s="1808">
        <f t="shared" si="13"/>
        <v>4</v>
      </c>
      <c r="H16" s="1808">
        <f t="shared" si="3"/>
        <v>-87</v>
      </c>
      <c r="I16" s="1808">
        <f t="shared" si="4"/>
        <v>-433</v>
      </c>
      <c r="J16" s="1808">
        <f t="shared" si="5"/>
        <v>259</v>
      </c>
      <c r="K16" s="1808">
        <f t="shared" si="6"/>
        <v>679</v>
      </c>
      <c r="L16" s="1808">
        <f t="shared" si="7"/>
        <v>-209</v>
      </c>
      <c r="M16" s="1808">
        <f t="shared" si="8"/>
        <v>-557</v>
      </c>
      <c r="N16" s="1808">
        <f t="shared" si="9"/>
        <v>271</v>
      </c>
      <c r="O16" s="1808">
        <f t="shared" ref="O16:O40" si="14">IF(AND(AF16&lt;0,-1000000&lt;=AF16),"▲"&amp;IF(AF16=0,"-",ROUNDDOWN(AF16,-6)/1000000),IF(AF16=0,"-",ROUNDDOWN(AF16,-6)/1000000))</f>
        <v>291</v>
      </c>
      <c r="P16" s="1808">
        <f>IF(AND(AG16&lt;0,-1000000&lt;=AG16),"▲"&amp;IF(AG16=0,"-",ROUNDDOWN(AG16,-6)/1000000),IF(AG16=0,"-",ROUNDDOWN(AG16,-6)/1000000))</f>
        <v>-1280</v>
      </c>
      <c r="Q16" s="1523"/>
      <c r="S16" s="78">
        <v>17</v>
      </c>
      <c r="T16" s="401"/>
      <c r="U16" s="78"/>
      <c r="V16" s="409" t="s">
        <v>176</v>
      </c>
      <c r="W16" s="411">
        <f t="shared" si="10"/>
        <v>-54682489</v>
      </c>
      <c r="X16" s="411">
        <f t="shared" si="10"/>
        <v>4707762</v>
      </c>
      <c r="Y16" s="411">
        <f t="shared" si="10"/>
        <v>-87066794</v>
      </c>
      <c r="Z16" s="411">
        <f t="shared" si="10"/>
        <v>-433819389</v>
      </c>
      <c r="AA16" s="411">
        <f t="shared" si="10"/>
        <v>259036179</v>
      </c>
      <c r="AB16" s="411">
        <f t="shared" si="10"/>
        <v>679344643</v>
      </c>
      <c r="AC16" s="411">
        <f t="shared" si="10"/>
        <v>-209863565</v>
      </c>
      <c r="AD16" s="411">
        <f t="shared" si="10"/>
        <v>-557034730</v>
      </c>
      <c r="AE16" s="411">
        <f t="shared" si="10"/>
        <v>271781652</v>
      </c>
      <c r="AF16" s="412">
        <f t="shared" si="10"/>
        <v>291340240</v>
      </c>
      <c r="AG16" s="413">
        <f t="shared" si="10"/>
        <v>-1280665098</v>
      </c>
      <c r="AH16" s="410"/>
    </row>
    <row r="17" spans="1:34" s="400" customFormat="1" ht="15.95" hidden="1" customHeight="1" outlineLevel="1">
      <c r="A17" s="1002"/>
      <c r="B17" s="2070"/>
      <c r="C17" s="2621" t="s">
        <v>1185</v>
      </c>
      <c r="D17" s="2622"/>
      <c r="E17" s="2622"/>
      <c r="F17" s="1807" t="str">
        <f t="shared" si="2"/>
        <v>-</v>
      </c>
      <c r="G17" s="1807" t="str">
        <f t="shared" si="13"/>
        <v>-</v>
      </c>
      <c r="H17" s="1807" t="str">
        <f t="shared" si="3"/>
        <v>-</v>
      </c>
      <c r="I17" s="1807" t="str">
        <f t="shared" si="4"/>
        <v>-</v>
      </c>
      <c r="J17" s="1807" t="str">
        <f t="shared" si="5"/>
        <v>-</v>
      </c>
      <c r="K17" s="1807" t="str">
        <f t="shared" si="6"/>
        <v>-</v>
      </c>
      <c r="L17" s="1807" t="str">
        <f t="shared" si="7"/>
        <v>-</v>
      </c>
      <c r="M17" s="1807" t="str">
        <f t="shared" si="8"/>
        <v>-</v>
      </c>
      <c r="N17" s="1807" t="str">
        <f t="shared" si="9"/>
        <v>-</v>
      </c>
      <c r="O17" s="1807" t="str">
        <f t="shared" si="14"/>
        <v>-</v>
      </c>
      <c r="P17" s="1807" t="str">
        <f t="shared" si="12"/>
        <v>-</v>
      </c>
      <c r="Q17" s="1523"/>
      <c r="S17" s="78">
        <v>20</v>
      </c>
      <c r="T17" s="401"/>
      <c r="U17" s="78"/>
      <c r="V17" s="409" t="s">
        <v>225</v>
      </c>
      <c r="W17" s="411">
        <f t="shared" si="10"/>
        <v>0</v>
      </c>
      <c r="X17" s="411">
        <f t="shared" si="10"/>
        <v>0</v>
      </c>
      <c r="Y17" s="415">
        <f t="shared" si="10"/>
        <v>0</v>
      </c>
      <c r="Z17" s="411">
        <f t="shared" si="10"/>
        <v>0</v>
      </c>
      <c r="AA17" s="415">
        <f t="shared" si="10"/>
        <v>0</v>
      </c>
      <c r="AB17" s="415">
        <f t="shared" si="10"/>
        <v>0</v>
      </c>
      <c r="AC17" s="411">
        <f t="shared" si="10"/>
        <v>0</v>
      </c>
      <c r="AD17" s="415">
        <f t="shared" si="10"/>
        <v>0</v>
      </c>
      <c r="AE17" s="415">
        <f t="shared" si="10"/>
        <v>0</v>
      </c>
      <c r="AF17" s="416">
        <f t="shared" si="10"/>
        <v>0</v>
      </c>
      <c r="AG17" s="417">
        <f t="shared" si="10"/>
        <v>0</v>
      </c>
      <c r="AH17" s="414"/>
    </row>
    <row r="18" spans="1:34" s="400" customFormat="1" ht="15.95" customHeight="1" collapsed="1">
      <c r="A18" s="1002"/>
      <c r="B18" s="2070"/>
      <c r="C18" s="2608" t="s">
        <v>1396</v>
      </c>
      <c r="D18" s="2609"/>
      <c r="E18" s="2609"/>
      <c r="F18" s="1526">
        <f t="shared" si="2"/>
        <v>-711</v>
      </c>
      <c r="G18" s="1526">
        <f t="shared" si="13"/>
        <v>1214</v>
      </c>
      <c r="H18" s="1526">
        <f t="shared" si="3"/>
        <v>-540</v>
      </c>
      <c r="I18" s="1526">
        <f t="shared" si="4"/>
        <v>-1260</v>
      </c>
      <c r="J18" s="1526">
        <f t="shared" si="5"/>
        <v>-844</v>
      </c>
      <c r="K18" s="1526">
        <f t="shared" si="6"/>
        <v>4047</v>
      </c>
      <c r="L18" s="1526">
        <f t="shared" si="7"/>
        <v>-767</v>
      </c>
      <c r="M18" s="1526">
        <f t="shared" si="8"/>
        <v>-1164</v>
      </c>
      <c r="N18" s="1526">
        <f t="shared" si="9"/>
        <v>-2623</v>
      </c>
      <c r="O18" s="1526">
        <f t="shared" si="14"/>
        <v>-2942</v>
      </c>
      <c r="P18" s="1526">
        <f>IF(AND(AG18&lt;0,-1000000&lt;=AG18),"▲"&amp;IF(AG18=0,"-",ROUNDDOWN(AG18,-6)/1000000),IF(AG18=0,"-",ROUNDDOWN(AG18,-6)/1000000))</f>
        <v>-1063</v>
      </c>
      <c r="Q18" s="1523"/>
      <c r="S18" s="78">
        <v>21</v>
      </c>
      <c r="T18" s="401"/>
      <c r="U18" s="78"/>
      <c r="V18" s="418" t="s">
        <v>156</v>
      </c>
      <c r="W18" s="419">
        <f t="shared" ref="W18:AG24" si="15">SUMIF($U$63:$U$226,$S18,W$63:W$226)</f>
        <v>-711123700</v>
      </c>
      <c r="X18" s="419">
        <f t="shared" si="15"/>
        <v>1214194544</v>
      </c>
      <c r="Y18" s="419">
        <f t="shared" si="15"/>
        <v>-540858614</v>
      </c>
      <c r="Z18" s="419">
        <f t="shared" si="15"/>
        <v>-1260541847</v>
      </c>
      <c r="AA18" s="419">
        <f t="shared" si="15"/>
        <v>-844639166</v>
      </c>
      <c r="AB18" s="419">
        <f t="shared" si="15"/>
        <v>4047757816</v>
      </c>
      <c r="AC18" s="419">
        <f t="shared" si="15"/>
        <v>-767819034</v>
      </c>
      <c r="AD18" s="419">
        <f t="shared" si="15"/>
        <v>-1164063336</v>
      </c>
      <c r="AE18" s="419">
        <f t="shared" si="15"/>
        <v>-2623784376</v>
      </c>
      <c r="AF18" s="419">
        <f t="shared" si="15"/>
        <v>-2942714914</v>
      </c>
      <c r="AG18" s="420">
        <f t="shared" si="15"/>
        <v>-1063453053</v>
      </c>
      <c r="AH18" s="410"/>
    </row>
    <row r="19" spans="1:34" s="400" customFormat="1" ht="15.95" customHeight="1">
      <c r="A19" s="1002"/>
      <c r="B19" s="2070"/>
      <c r="C19" s="2623" t="s">
        <v>1397</v>
      </c>
      <c r="D19" s="2624"/>
      <c r="E19" s="2624"/>
      <c r="F19" s="1525">
        <f t="shared" si="2"/>
        <v>37901</v>
      </c>
      <c r="G19" s="1525">
        <f t="shared" si="13"/>
        <v>39167</v>
      </c>
      <c r="H19" s="1525">
        <f t="shared" si="3"/>
        <v>42730</v>
      </c>
      <c r="I19" s="1525">
        <f t="shared" si="4"/>
        <v>45900</v>
      </c>
      <c r="J19" s="1525">
        <f t="shared" si="5"/>
        <v>40513</v>
      </c>
      <c r="K19" s="1525">
        <f t="shared" si="6"/>
        <v>47888</v>
      </c>
      <c r="L19" s="1525">
        <f t="shared" si="7"/>
        <v>49962</v>
      </c>
      <c r="M19" s="1525">
        <f t="shared" si="8"/>
        <v>50678</v>
      </c>
      <c r="N19" s="1525">
        <f t="shared" si="9"/>
        <v>61465</v>
      </c>
      <c r="O19" s="1525">
        <f t="shared" si="14"/>
        <v>54563</v>
      </c>
      <c r="P19" s="1525">
        <f>IF(AND(AG19&lt;0,-1000000&lt;=AG19),"▲"&amp;IF(AG19=0,"-",ROUNDDOWN(AG19,-6)/1000000),IF(AG19=0,"-",ROUNDDOWN(AG19,-6)/1000000))</f>
        <v>62178</v>
      </c>
      <c r="Q19" s="1523"/>
      <c r="S19" s="78">
        <v>22</v>
      </c>
      <c r="T19" s="401"/>
      <c r="U19" s="78"/>
      <c r="V19" s="421" t="s">
        <v>226</v>
      </c>
      <c r="W19" s="422">
        <f t="shared" si="15"/>
        <v>37901722481</v>
      </c>
      <c r="X19" s="422">
        <f t="shared" si="15"/>
        <v>39167413457</v>
      </c>
      <c r="Y19" s="422">
        <f t="shared" si="15"/>
        <v>42730861239</v>
      </c>
      <c r="Z19" s="422">
        <f t="shared" si="15"/>
        <v>45900989476</v>
      </c>
      <c r="AA19" s="422">
        <f t="shared" si="15"/>
        <v>40513633764</v>
      </c>
      <c r="AB19" s="422">
        <f t="shared" si="15"/>
        <v>47888067174</v>
      </c>
      <c r="AC19" s="422">
        <f t="shared" si="15"/>
        <v>49962319433</v>
      </c>
      <c r="AD19" s="422">
        <f t="shared" si="15"/>
        <v>50678242783</v>
      </c>
      <c r="AE19" s="422">
        <f t="shared" si="15"/>
        <v>61465945939</v>
      </c>
      <c r="AF19" s="423">
        <f t="shared" si="15"/>
        <v>54563526315</v>
      </c>
      <c r="AG19" s="424">
        <f t="shared" si="15"/>
        <v>62178809525</v>
      </c>
      <c r="AH19" s="410"/>
    </row>
    <row r="20" spans="1:34" s="400" customFormat="1" ht="15.95" customHeight="1">
      <c r="A20" s="1002"/>
      <c r="B20" s="2070"/>
      <c r="C20" s="2617" t="s">
        <v>1398</v>
      </c>
      <c r="D20" s="2618"/>
      <c r="E20" s="2618"/>
      <c r="F20" s="1524">
        <f t="shared" si="2"/>
        <v>103</v>
      </c>
      <c r="G20" s="1524">
        <f t="shared" si="13"/>
        <v>69</v>
      </c>
      <c r="H20" s="1524">
        <f t="shared" si="3"/>
        <v>47</v>
      </c>
      <c r="I20" s="1524">
        <f t="shared" si="4"/>
        <v>330</v>
      </c>
      <c r="J20" s="1524">
        <f t="shared" si="5"/>
        <v>22</v>
      </c>
      <c r="K20" s="1524">
        <f t="shared" si="6"/>
        <v>87</v>
      </c>
      <c r="L20" s="1524">
        <f t="shared" si="7"/>
        <v>45</v>
      </c>
      <c r="M20" s="1524">
        <f t="shared" si="8"/>
        <v>57</v>
      </c>
      <c r="N20" s="1524">
        <f t="shared" si="9"/>
        <v>58</v>
      </c>
      <c r="O20" s="1524">
        <f t="shared" si="14"/>
        <v>51</v>
      </c>
      <c r="P20" s="1524">
        <f>IF(AND(AG20&lt;0,-1000000&lt;=AG20),"▲"&amp;IF(AG20=0,"-",ROUNDDOWN(AG20,-6)/1000000),IF(AG20=0,"-",ROUNDDOWN(AG20,-6)/1000000))</f>
        <v>63</v>
      </c>
      <c r="Q20" s="1523"/>
      <c r="R20" s="76"/>
      <c r="S20" s="78">
        <v>23</v>
      </c>
      <c r="T20" s="401"/>
      <c r="U20" s="78"/>
      <c r="V20" s="425" t="s">
        <v>51</v>
      </c>
      <c r="W20" s="426">
        <f t="shared" si="15"/>
        <v>103513930</v>
      </c>
      <c r="X20" s="426">
        <f t="shared" si="15"/>
        <v>69511060</v>
      </c>
      <c r="Y20" s="426">
        <f t="shared" si="15"/>
        <v>47871922</v>
      </c>
      <c r="Z20" s="426">
        <f t="shared" si="15"/>
        <v>330021522</v>
      </c>
      <c r="AA20" s="426">
        <f t="shared" si="15"/>
        <v>22779382</v>
      </c>
      <c r="AB20" s="426">
        <f t="shared" si="15"/>
        <v>87752750</v>
      </c>
      <c r="AC20" s="426">
        <f t="shared" si="15"/>
        <v>45549102</v>
      </c>
      <c r="AD20" s="426">
        <f t="shared" si="15"/>
        <v>57962238</v>
      </c>
      <c r="AE20" s="426">
        <f t="shared" si="15"/>
        <v>58192341</v>
      </c>
      <c r="AF20" s="427">
        <f t="shared" si="15"/>
        <v>51758602</v>
      </c>
      <c r="AG20" s="428">
        <f t="shared" si="15"/>
        <v>63379758</v>
      </c>
      <c r="AH20" s="410"/>
    </row>
    <row r="21" spans="1:34" s="400" customFormat="1" ht="15.95" customHeight="1">
      <c r="A21" s="1002"/>
      <c r="B21" s="2070"/>
      <c r="C21" s="2619" t="s">
        <v>1399</v>
      </c>
      <c r="D21" s="2620"/>
      <c r="E21" s="2620"/>
      <c r="F21" s="1808" t="str">
        <f t="shared" si="2"/>
        <v>▲0</v>
      </c>
      <c r="G21" s="1808">
        <f t="shared" si="13"/>
        <v>-1</v>
      </c>
      <c r="H21" s="1808">
        <f t="shared" si="3"/>
        <v>-11</v>
      </c>
      <c r="I21" s="1808">
        <f t="shared" si="4"/>
        <v>-11</v>
      </c>
      <c r="J21" s="1808">
        <f t="shared" si="5"/>
        <v>-14</v>
      </c>
      <c r="K21" s="1808">
        <f t="shared" si="6"/>
        <v>-14</v>
      </c>
      <c r="L21" s="1808">
        <f t="shared" si="7"/>
        <v>-13</v>
      </c>
      <c r="M21" s="1808">
        <f t="shared" si="8"/>
        <v>-12</v>
      </c>
      <c r="N21" s="1808">
        <f t="shared" si="9"/>
        <v>-11</v>
      </c>
      <c r="O21" s="1808">
        <f t="shared" si="14"/>
        <v>-12</v>
      </c>
      <c r="P21" s="1808">
        <f t="shared" si="12"/>
        <v>-14</v>
      </c>
      <c r="Q21" s="1523"/>
      <c r="R21" s="149"/>
      <c r="S21" s="78">
        <v>24</v>
      </c>
      <c r="T21" s="401"/>
      <c r="U21" s="78"/>
      <c r="V21" s="409" t="s">
        <v>52</v>
      </c>
      <c r="W21" s="411">
        <f t="shared" si="15"/>
        <v>-844799</v>
      </c>
      <c r="X21" s="411">
        <f t="shared" si="15"/>
        <v>-1066174</v>
      </c>
      <c r="Y21" s="411">
        <f t="shared" si="15"/>
        <v>-11631219</v>
      </c>
      <c r="Z21" s="411">
        <f t="shared" si="15"/>
        <v>-11849158</v>
      </c>
      <c r="AA21" s="411">
        <f t="shared" si="15"/>
        <v>-14094373</v>
      </c>
      <c r="AB21" s="411">
        <f t="shared" si="15"/>
        <v>-14976331</v>
      </c>
      <c r="AC21" s="411">
        <f t="shared" si="15"/>
        <v>-13794659</v>
      </c>
      <c r="AD21" s="411">
        <f t="shared" si="15"/>
        <v>-12019743</v>
      </c>
      <c r="AE21" s="411">
        <f t="shared" si="15"/>
        <v>-11104734</v>
      </c>
      <c r="AF21" s="412">
        <f t="shared" si="15"/>
        <v>-12049737</v>
      </c>
      <c r="AG21" s="413">
        <f t="shared" si="15"/>
        <v>-14994595</v>
      </c>
      <c r="AH21" s="414"/>
    </row>
    <row r="22" spans="1:34" s="400" customFormat="1" ht="15.95" customHeight="1">
      <c r="A22" s="1002"/>
      <c r="B22" s="2070"/>
      <c r="C22" s="2608" t="s">
        <v>1400</v>
      </c>
      <c r="D22" s="2609"/>
      <c r="E22" s="2609"/>
      <c r="F22" s="1526">
        <f t="shared" si="2"/>
        <v>-11974</v>
      </c>
      <c r="G22" s="1526">
        <f t="shared" si="13"/>
        <v>-10353</v>
      </c>
      <c r="H22" s="1526">
        <f t="shared" si="3"/>
        <v>-10261</v>
      </c>
      <c r="I22" s="1526">
        <f t="shared" si="4"/>
        <v>-13324</v>
      </c>
      <c r="J22" s="1526">
        <f t="shared" si="5"/>
        <v>-13276</v>
      </c>
      <c r="K22" s="1526">
        <f t="shared" si="6"/>
        <v>-9553</v>
      </c>
      <c r="L22" s="1526">
        <f t="shared" si="7"/>
        <v>-13363</v>
      </c>
      <c r="M22" s="1526">
        <f t="shared" si="8"/>
        <v>-13816</v>
      </c>
      <c r="N22" s="1526">
        <f t="shared" si="9"/>
        <v>-14362</v>
      </c>
      <c r="O22" s="1526">
        <f t="shared" si="14"/>
        <v>-16445</v>
      </c>
      <c r="P22" s="1526">
        <f t="shared" si="12"/>
        <v>-18313</v>
      </c>
      <c r="Q22" s="1523"/>
      <c r="R22" s="76"/>
      <c r="S22" s="78">
        <v>25</v>
      </c>
      <c r="T22" s="401"/>
      <c r="U22" s="78"/>
      <c r="V22" s="409" t="s">
        <v>39</v>
      </c>
      <c r="W22" s="411">
        <f t="shared" si="15"/>
        <v>-11974218338</v>
      </c>
      <c r="X22" s="411">
        <f t="shared" si="15"/>
        <v>-10353150483</v>
      </c>
      <c r="Y22" s="411">
        <f t="shared" si="15"/>
        <v>-10261921098</v>
      </c>
      <c r="Z22" s="411">
        <f t="shared" si="15"/>
        <v>-13324719577</v>
      </c>
      <c r="AA22" s="411">
        <f t="shared" si="15"/>
        <v>-13276337060</v>
      </c>
      <c r="AB22" s="411">
        <f t="shared" si="15"/>
        <v>-9553355981</v>
      </c>
      <c r="AC22" s="411">
        <f t="shared" si="15"/>
        <v>-13363870263</v>
      </c>
      <c r="AD22" s="411">
        <f t="shared" si="15"/>
        <v>-13816382253</v>
      </c>
      <c r="AE22" s="411">
        <f t="shared" si="15"/>
        <v>-14362322808</v>
      </c>
      <c r="AF22" s="411">
        <f t="shared" si="15"/>
        <v>-16445650216</v>
      </c>
      <c r="AG22" s="413">
        <f t="shared" si="15"/>
        <v>-18313783629</v>
      </c>
      <c r="AH22" s="414"/>
    </row>
    <row r="23" spans="1:34" s="400" customFormat="1" ht="15.95" hidden="1" customHeight="1" outlineLevel="1">
      <c r="A23" s="1002"/>
      <c r="B23" s="2070"/>
      <c r="C23" s="2615" t="s">
        <v>1186</v>
      </c>
      <c r="D23" s="2616"/>
      <c r="E23" s="2616"/>
      <c r="F23" s="1524" t="str">
        <f t="shared" si="2"/>
        <v>-</v>
      </c>
      <c r="G23" s="1524" t="str">
        <f t="shared" si="13"/>
        <v>-</v>
      </c>
      <c r="H23" s="1524" t="str">
        <f t="shared" si="3"/>
        <v>-</v>
      </c>
      <c r="I23" s="1524" t="str">
        <f t="shared" si="4"/>
        <v>-</v>
      </c>
      <c r="J23" s="1524" t="str">
        <f t="shared" si="5"/>
        <v>-</v>
      </c>
      <c r="K23" s="1524" t="str">
        <f t="shared" si="6"/>
        <v>-</v>
      </c>
      <c r="L23" s="1524" t="str">
        <f t="shared" si="7"/>
        <v>-</v>
      </c>
      <c r="M23" s="1524" t="str">
        <f t="shared" si="8"/>
        <v>-</v>
      </c>
      <c r="N23" s="1524" t="str">
        <f t="shared" si="9"/>
        <v>-</v>
      </c>
      <c r="O23" s="1524" t="str">
        <f t="shared" si="14"/>
        <v>-</v>
      </c>
      <c r="P23" s="1524" t="str">
        <f t="shared" si="12"/>
        <v>-</v>
      </c>
      <c r="Q23" s="1523"/>
      <c r="R23" s="76"/>
      <c r="S23" s="78">
        <v>29</v>
      </c>
      <c r="T23" s="401"/>
      <c r="U23" s="78"/>
      <c r="V23" s="404" t="s">
        <v>351</v>
      </c>
      <c r="W23" s="429">
        <f t="shared" si="15"/>
        <v>0</v>
      </c>
      <c r="X23" s="429">
        <f t="shared" si="15"/>
        <v>0</v>
      </c>
      <c r="Y23" s="429">
        <f t="shared" si="15"/>
        <v>0</v>
      </c>
      <c r="Z23" s="429">
        <f t="shared" si="15"/>
        <v>0</v>
      </c>
      <c r="AA23" s="429">
        <f t="shared" si="15"/>
        <v>0</v>
      </c>
      <c r="AB23" s="429">
        <f t="shared" si="15"/>
        <v>0</v>
      </c>
      <c r="AC23" s="429">
        <f t="shared" si="15"/>
        <v>0</v>
      </c>
      <c r="AD23" s="429">
        <f t="shared" si="15"/>
        <v>0</v>
      </c>
      <c r="AE23" s="429">
        <f t="shared" si="15"/>
        <v>0</v>
      </c>
      <c r="AF23" s="430">
        <f t="shared" si="15"/>
        <v>0</v>
      </c>
      <c r="AG23" s="431">
        <f t="shared" si="15"/>
        <v>0</v>
      </c>
      <c r="AH23" s="414"/>
    </row>
    <row r="24" spans="1:34" s="400" customFormat="1" ht="15" collapsed="1">
      <c r="A24" s="1002"/>
      <c r="B24" s="2071"/>
      <c r="C24" s="2610" t="s">
        <v>1401</v>
      </c>
      <c r="D24" s="2611"/>
      <c r="E24" s="2611"/>
      <c r="F24" s="1527">
        <f t="shared" si="2"/>
        <v>26030</v>
      </c>
      <c r="G24" s="1527">
        <f t="shared" si="13"/>
        <v>28882</v>
      </c>
      <c r="H24" s="1527">
        <f t="shared" si="3"/>
        <v>32505</v>
      </c>
      <c r="I24" s="1527">
        <f t="shared" si="4"/>
        <v>32894</v>
      </c>
      <c r="J24" s="1527">
        <f t="shared" si="5"/>
        <v>27245</v>
      </c>
      <c r="K24" s="1527">
        <f t="shared" si="6"/>
        <v>38407</v>
      </c>
      <c r="L24" s="1527">
        <f t="shared" si="7"/>
        <v>36630</v>
      </c>
      <c r="M24" s="1527">
        <f t="shared" si="8"/>
        <v>36907</v>
      </c>
      <c r="N24" s="1527">
        <f t="shared" si="9"/>
        <v>47150</v>
      </c>
      <c r="O24" s="1527">
        <f t="shared" si="14"/>
        <v>38157</v>
      </c>
      <c r="P24" s="1527">
        <f t="shared" si="12"/>
        <v>43913</v>
      </c>
      <c r="Q24" s="669"/>
      <c r="R24" s="170"/>
      <c r="S24" s="78">
        <v>26</v>
      </c>
      <c r="T24" s="33"/>
      <c r="U24" s="432"/>
      <c r="V24" s="433" t="s">
        <v>342</v>
      </c>
      <c r="W24" s="434">
        <f t="shared" si="15"/>
        <v>26030173274</v>
      </c>
      <c r="X24" s="434">
        <f t="shared" si="15"/>
        <v>28882707860</v>
      </c>
      <c r="Y24" s="434">
        <f t="shared" si="15"/>
        <v>32505180844</v>
      </c>
      <c r="Z24" s="434">
        <f t="shared" si="15"/>
        <v>32894442263</v>
      </c>
      <c r="AA24" s="434">
        <f t="shared" si="15"/>
        <v>27245981713</v>
      </c>
      <c r="AB24" s="434">
        <f t="shared" si="15"/>
        <v>38407487612</v>
      </c>
      <c r="AC24" s="434">
        <f t="shared" si="15"/>
        <v>36630203613</v>
      </c>
      <c r="AD24" s="434">
        <f t="shared" si="15"/>
        <v>36907803025</v>
      </c>
      <c r="AE24" s="434">
        <f t="shared" si="15"/>
        <v>47150710738</v>
      </c>
      <c r="AF24" s="435">
        <f t="shared" si="15"/>
        <v>38157584964</v>
      </c>
      <c r="AG24" s="436">
        <f t="shared" si="15"/>
        <v>43913411059</v>
      </c>
      <c r="AH24" s="410"/>
    </row>
    <row r="25" spans="1:34" s="400" customFormat="1" ht="15.95" customHeight="1">
      <c r="A25" s="1002"/>
      <c r="B25" s="2612" t="s">
        <v>1402</v>
      </c>
      <c r="C25" s="2612"/>
      <c r="D25" s="2612"/>
      <c r="E25" s="2612"/>
      <c r="F25" s="1528"/>
      <c r="G25" s="1528"/>
      <c r="H25" s="1528"/>
      <c r="I25" s="1528"/>
      <c r="J25" s="1528"/>
      <c r="K25" s="1528"/>
      <c r="L25" s="1528"/>
      <c r="M25" s="1528"/>
      <c r="N25" s="1528"/>
      <c r="O25" s="1528"/>
      <c r="P25" s="1528"/>
      <c r="Q25" s="669"/>
      <c r="S25" s="171"/>
      <c r="T25" s="401" t="s">
        <v>164</v>
      </c>
      <c r="U25" s="78" t="s">
        <v>343</v>
      </c>
      <c r="V25" s="404"/>
      <c r="W25" s="344"/>
      <c r="X25" s="344"/>
      <c r="Y25" s="344"/>
      <c r="Z25" s="344"/>
      <c r="AA25" s="344"/>
      <c r="AB25" s="344"/>
      <c r="AC25" s="344"/>
      <c r="AD25" s="344"/>
      <c r="AE25" s="344"/>
      <c r="AF25" s="344"/>
      <c r="AG25" s="437"/>
      <c r="AH25" s="410"/>
    </row>
    <row r="26" spans="1:34" s="400" customFormat="1" ht="15.95" customHeight="1">
      <c r="A26" s="1002"/>
      <c r="B26" s="2070"/>
      <c r="C26" s="2617" t="s">
        <v>1403</v>
      </c>
      <c r="D26" s="2618"/>
      <c r="E26" s="2618"/>
      <c r="F26" s="1524">
        <f>IF(AND(W26&lt;0,-1000000&lt;=W26),"▲"&amp;IF(W26=0,"-",ROUNDDOWN(W26,-6)/1000000),IF(W26=0,"-",ROUNDDOWN(W26,-6)/1000000))</f>
        <v>-8455</v>
      </c>
      <c r="G26" s="1524">
        <f t="shared" si="13"/>
        <v>-5148</v>
      </c>
      <c r="H26" s="1524">
        <f t="shared" si="3"/>
        <v>-3988</v>
      </c>
      <c r="I26" s="1524">
        <f t="shared" si="4"/>
        <v>-1837</v>
      </c>
      <c r="J26" s="1524">
        <f t="shared" si="5"/>
        <v>-3913</v>
      </c>
      <c r="K26" s="1524">
        <f t="shared" si="6"/>
        <v>-5241</v>
      </c>
      <c r="L26" s="1524">
        <f t="shared" si="7"/>
        <v>-1127</v>
      </c>
      <c r="M26" s="1524">
        <f t="shared" si="8"/>
        <v>-4100</v>
      </c>
      <c r="N26" s="1524">
        <f t="shared" si="9"/>
        <v>-2096</v>
      </c>
      <c r="O26" s="1524">
        <f t="shared" si="14"/>
        <v>-2771</v>
      </c>
      <c r="P26" s="1524">
        <f t="shared" si="12"/>
        <v>-9353</v>
      </c>
      <c r="Q26" s="669"/>
      <c r="S26" s="404">
        <v>102</v>
      </c>
      <c r="T26" s="401"/>
      <c r="U26" s="404"/>
      <c r="V26" s="438" t="s">
        <v>65</v>
      </c>
      <c r="W26" s="439">
        <f t="shared" ref="W26:AG29" si="16">SUMIF($U$63:$U$226,$S26,W$63:W$226)</f>
        <v>-8455973049</v>
      </c>
      <c r="X26" s="439">
        <f t="shared" si="16"/>
        <v>-5148426108</v>
      </c>
      <c r="Y26" s="439">
        <f t="shared" si="16"/>
        <v>-3988625191</v>
      </c>
      <c r="Z26" s="439">
        <f t="shared" si="16"/>
        <v>-1837693894</v>
      </c>
      <c r="AA26" s="439">
        <f t="shared" si="16"/>
        <v>-3913663483</v>
      </c>
      <c r="AB26" s="439">
        <f t="shared" si="16"/>
        <v>-5241334485</v>
      </c>
      <c r="AC26" s="439">
        <f t="shared" si="16"/>
        <v>-1127309442</v>
      </c>
      <c r="AD26" s="439">
        <f t="shared" si="16"/>
        <v>-4100785163</v>
      </c>
      <c r="AE26" s="439">
        <f t="shared" si="16"/>
        <v>-2096474551</v>
      </c>
      <c r="AF26" s="439">
        <f t="shared" si="16"/>
        <v>-2771072761</v>
      </c>
      <c r="AG26" s="413">
        <f t="shared" si="16"/>
        <v>-9353020134</v>
      </c>
      <c r="AH26" s="410"/>
    </row>
    <row r="27" spans="1:34" s="400" customFormat="1" ht="15.95" customHeight="1">
      <c r="A27" s="1002"/>
      <c r="B27" s="2070"/>
      <c r="C27" s="2619" t="s">
        <v>1404</v>
      </c>
      <c r="D27" s="2620"/>
      <c r="E27" s="2620"/>
      <c r="F27" s="1808">
        <f>IF(AND(W27&lt;0,-1000000&lt;=W27),"▲"&amp;IF(W27=0,"-",ROUNDDOWN(W27,-6)/1000000),IF(W27=0,"-",ROUNDDOWN(W27,-6)/1000000))</f>
        <v>23</v>
      </c>
      <c r="G27" s="1808">
        <f t="shared" si="13"/>
        <v>37</v>
      </c>
      <c r="H27" s="1808">
        <f t="shared" si="3"/>
        <v>56</v>
      </c>
      <c r="I27" s="1808">
        <f t="shared" si="4"/>
        <v>633</v>
      </c>
      <c r="J27" s="1808">
        <f t="shared" si="5"/>
        <v>46</v>
      </c>
      <c r="K27" s="1808">
        <f t="shared" si="6"/>
        <v>92</v>
      </c>
      <c r="L27" s="1808">
        <f t="shared" si="7"/>
        <v>55</v>
      </c>
      <c r="M27" s="1808">
        <f t="shared" si="8"/>
        <v>79</v>
      </c>
      <c r="N27" s="1808">
        <f t="shared" si="9"/>
        <v>87</v>
      </c>
      <c r="O27" s="1808">
        <f t="shared" si="14"/>
        <v>284</v>
      </c>
      <c r="P27" s="1808">
        <f t="shared" si="12"/>
        <v>74</v>
      </c>
      <c r="Q27" s="669"/>
      <c r="S27" s="404">
        <v>103</v>
      </c>
      <c r="T27" s="401"/>
      <c r="U27" s="404"/>
      <c r="V27" s="438" t="s">
        <v>66</v>
      </c>
      <c r="W27" s="439">
        <f t="shared" si="16"/>
        <v>23205325</v>
      </c>
      <c r="X27" s="439">
        <f t="shared" si="16"/>
        <v>37275436</v>
      </c>
      <c r="Y27" s="439">
        <f t="shared" si="16"/>
        <v>56348668</v>
      </c>
      <c r="Z27" s="439">
        <f t="shared" si="16"/>
        <v>633970124</v>
      </c>
      <c r="AA27" s="439">
        <f t="shared" si="16"/>
        <v>46681087</v>
      </c>
      <c r="AB27" s="439">
        <f t="shared" si="16"/>
        <v>92664586</v>
      </c>
      <c r="AC27" s="439">
        <f t="shared" si="16"/>
        <v>55583444</v>
      </c>
      <c r="AD27" s="439">
        <f t="shared" si="16"/>
        <v>79227840</v>
      </c>
      <c r="AE27" s="439">
        <f t="shared" si="16"/>
        <v>87140199</v>
      </c>
      <c r="AF27" s="439">
        <f t="shared" si="16"/>
        <v>284027511</v>
      </c>
      <c r="AG27" s="413">
        <f t="shared" si="16"/>
        <v>74369902</v>
      </c>
      <c r="AH27" s="414"/>
    </row>
    <row r="28" spans="1:34" s="400" customFormat="1" ht="15.95" customHeight="1">
      <c r="A28" s="1002"/>
      <c r="B28" s="2070"/>
      <c r="C28" s="2608" t="s">
        <v>1405</v>
      </c>
      <c r="D28" s="2609"/>
      <c r="E28" s="2609"/>
      <c r="F28" s="1807">
        <f>IF(AND(W28&lt;0,-1000000&lt;=W28),"▲"&amp;IF(W28=0,"-",ROUNDDOWN(W28,-6)/1000000),IF(W28=0,"-",ROUNDDOWN(W28,-6)/1000000))</f>
        <v>2738</v>
      </c>
      <c r="G28" s="1807">
        <f t="shared" si="13"/>
        <v>287</v>
      </c>
      <c r="H28" s="1807">
        <f t="shared" si="3"/>
        <v>-30565</v>
      </c>
      <c r="I28" s="1807">
        <f t="shared" si="4"/>
        <v>-292</v>
      </c>
      <c r="J28" s="1807">
        <f t="shared" si="5"/>
        <v>-1039</v>
      </c>
      <c r="K28" s="1807">
        <f t="shared" si="6"/>
        <v>-4181</v>
      </c>
      <c r="L28" s="1807">
        <f t="shared" si="7"/>
        <v>-268</v>
      </c>
      <c r="M28" s="1807">
        <f t="shared" si="8"/>
        <v>-5053</v>
      </c>
      <c r="N28" s="1807">
        <f t="shared" si="9"/>
        <v>-636</v>
      </c>
      <c r="O28" s="1807">
        <f t="shared" si="14"/>
        <v>-3508</v>
      </c>
      <c r="P28" s="1807">
        <f t="shared" si="12"/>
        <v>-11992</v>
      </c>
      <c r="Q28" s="669"/>
      <c r="S28" s="404">
        <v>108</v>
      </c>
      <c r="T28" s="401"/>
      <c r="U28" s="404"/>
      <c r="V28" s="440" t="s">
        <v>219</v>
      </c>
      <c r="W28" s="441">
        <f t="shared" si="16"/>
        <v>2738412539</v>
      </c>
      <c r="X28" s="441">
        <f t="shared" si="16"/>
        <v>287180754</v>
      </c>
      <c r="Y28" s="441">
        <f t="shared" si="16"/>
        <v>-30565943337</v>
      </c>
      <c r="Z28" s="441">
        <f t="shared" si="16"/>
        <v>-292564692</v>
      </c>
      <c r="AA28" s="441">
        <f t="shared" si="16"/>
        <v>-1039077445</v>
      </c>
      <c r="AB28" s="441">
        <f t="shared" si="16"/>
        <v>-4181900060</v>
      </c>
      <c r="AC28" s="441">
        <f t="shared" si="16"/>
        <v>-268059052</v>
      </c>
      <c r="AD28" s="441">
        <f t="shared" si="16"/>
        <v>-5053334906</v>
      </c>
      <c r="AE28" s="441">
        <f t="shared" si="16"/>
        <v>-636657260</v>
      </c>
      <c r="AF28" s="441">
        <f t="shared" si="16"/>
        <v>-3508449981</v>
      </c>
      <c r="AG28" s="420">
        <f t="shared" si="16"/>
        <v>-11992612560</v>
      </c>
      <c r="AH28" s="410"/>
    </row>
    <row r="29" spans="1:34" s="400" customFormat="1" ht="15.75" thickBot="1">
      <c r="A29" s="1002"/>
      <c r="B29" s="2070"/>
      <c r="C29" s="2610" t="s">
        <v>1406</v>
      </c>
      <c r="D29" s="2611"/>
      <c r="E29" s="2611"/>
      <c r="F29" s="1527">
        <f>IF(AND(W29&lt;0,-1000000&lt;=W29),"▲"&amp;IF(W29=0,"-",ROUNDDOWN(W29,-6)/1000000),IF(W29=0,"-",ROUNDDOWN(W29,-6)/1000000))</f>
        <v>-5694</v>
      </c>
      <c r="G29" s="1527">
        <f t="shared" si="13"/>
        <v>-4823</v>
      </c>
      <c r="H29" s="1527">
        <f t="shared" si="3"/>
        <v>-34498</v>
      </c>
      <c r="I29" s="1527">
        <f t="shared" si="4"/>
        <v>-1496</v>
      </c>
      <c r="J29" s="1527">
        <f t="shared" si="5"/>
        <v>-4906</v>
      </c>
      <c r="K29" s="1527">
        <f t="shared" si="6"/>
        <v>-9330</v>
      </c>
      <c r="L29" s="1527">
        <f t="shared" si="7"/>
        <v>-1339</v>
      </c>
      <c r="M29" s="1527">
        <f t="shared" si="8"/>
        <v>-9074</v>
      </c>
      <c r="N29" s="1527">
        <f t="shared" si="9"/>
        <v>-2646</v>
      </c>
      <c r="O29" s="1527">
        <f t="shared" si="14"/>
        <v>-5995</v>
      </c>
      <c r="P29" s="1527">
        <f t="shared" si="12"/>
        <v>-21271</v>
      </c>
      <c r="Q29" s="669"/>
      <c r="R29" s="442"/>
      <c r="S29" s="404">
        <v>109</v>
      </c>
      <c r="T29" s="443"/>
      <c r="U29" s="444"/>
      <c r="V29" s="445" t="s">
        <v>343</v>
      </c>
      <c r="W29" s="446">
        <f t="shared" si="16"/>
        <v>-5694355185</v>
      </c>
      <c r="X29" s="446">
        <f t="shared" si="16"/>
        <v>-4823969918</v>
      </c>
      <c r="Y29" s="446">
        <f t="shared" si="16"/>
        <v>-34498219860</v>
      </c>
      <c r="Z29" s="446">
        <f t="shared" si="16"/>
        <v>-1496288462</v>
      </c>
      <c r="AA29" s="446">
        <f t="shared" si="16"/>
        <v>-4906059841</v>
      </c>
      <c r="AB29" s="446">
        <f t="shared" si="16"/>
        <v>-9330569959</v>
      </c>
      <c r="AC29" s="446">
        <f t="shared" si="16"/>
        <v>-1339785050</v>
      </c>
      <c r="AD29" s="446">
        <f t="shared" si="16"/>
        <v>-9074892229</v>
      </c>
      <c r="AE29" s="446">
        <f t="shared" si="16"/>
        <v>-2646091612</v>
      </c>
      <c r="AF29" s="446">
        <f t="shared" si="16"/>
        <v>-5995495231</v>
      </c>
      <c r="AG29" s="447">
        <f t="shared" si="16"/>
        <v>-21271262792</v>
      </c>
      <c r="AH29" s="410"/>
    </row>
    <row r="30" spans="1:34" s="400" customFormat="1" ht="15.95" customHeight="1">
      <c r="A30" s="1002"/>
      <c r="B30" s="2612" t="s">
        <v>1407</v>
      </c>
      <c r="C30" s="2612"/>
      <c r="D30" s="2612"/>
      <c r="E30" s="2612"/>
      <c r="F30" s="1529"/>
      <c r="G30" s="1529"/>
      <c r="H30" s="1529"/>
      <c r="I30" s="1529"/>
      <c r="J30" s="1529"/>
      <c r="K30" s="1529"/>
      <c r="L30" s="1529"/>
      <c r="M30" s="1529"/>
      <c r="N30" s="1529"/>
      <c r="O30" s="1529"/>
      <c r="P30" s="1529"/>
      <c r="Q30" s="669"/>
      <c r="R30" s="172"/>
      <c r="S30" s="448"/>
      <c r="T30" s="401" t="s">
        <v>165</v>
      </c>
      <c r="U30" s="449" t="s">
        <v>344</v>
      </c>
      <c r="V30" s="450"/>
      <c r="W30" s="441"/>
      <c r="X30" s="441"/>
      <c r="Y30" s="441"/>
      <c r="Z30" s="441"/>
      <c r="AA30" s="441"/>
      <c r="AB30" s="441"/>
      <c r="AC30" s="441"/>
      <c r="AD30" s="441"/>
      <c r="AE30" s="441"/>
      <c r="AF30" s="441"/>
      <c r="AG30" s="431"/>
      <c r="AH30" s="410"/>
    </row>
    <row r="31" spans="1:34" s="400" customFormat="1" ht="15.95" customHeight="1">
      <c r="A31" s="1002"/>
      <c r="B31" s="2070"/>
      <c r="C31" s="2613" t="s">
        <v>1526</v>
      </c>
      <c r="D31" s="2614"/>
      <c r="E31" s="2614"/>
      <c r="F31" s="1524">
        <f t="shared" ref="F31:F40" si="17">IF(AND(W31&lt;0,-1000000&lt;=W31),"▲"&amp;IF(W31=0,"-",ROUNDDOWN(W31,-6)/1000000),IF(W31=0,"-",ROUNDDOWN(W31,-6)/1000000))</f>
        <v>-20</v>
      </c>
      <c r="G31" s="1524">
        <f t="shared" si="13"/>
        <v>-30</v>
      </c>
      <c r="H31" s="1524">
        <f t="shared" si="3"/>
        <v>-30</v>
      </c>
      <c r="I31" s="1524" t="str">
        <f t="shared" si="4"/>
        <v>-</v>
      </c>
      <c r="J31" s="1524">
        <f t="shared" si="5"/>
        <v>300</v>
      </c>
      <c r="K31" s="1524">
        <f t="shared" si="6"/>
        <v>-300</v>
      </c>
      <c r="L31" s="1524">
        <f t="shared" si="7"/>
        <v>186</v>
      </c>
      <c r="M31" s="1524">
        <f t="shared" si="8"/>
        <v>153</v>
      </c>
      <c r="N31" s="1524">
        <f t="shared" si="9"/>
        <v>-190</v>
      </c>
      <c r="O31" s="1524">
        <f t="shared" si="14"/>
        <v>190</v>
      </c>
      <c r="P31" s="1524">
        <f t="shared" si="12"/>
        <v>357</v>
      </c>
      <c r="Q31" s="669"/>
      <c r="R31" s="442"/>
      <c r="S31" s="404">
        <v>110</v>
      </c>
      <c r="T31" s="401"/>
      <c r="U31" s="404"/>
      <c r="V31" s="451" t="s">
        <v>222</v>
      </c>
      <c r="W31" s="439">
        <f t="shared" ref="W31:AG40" si="18">SUMIF($U$63:$U$226,$S31,W$63:W$226)</f>
        <v>-20000000</v>
      </c>
      <c r="X31" s="439">
        <f t="shared" si="18"/>
        <v>-30000000</v>
      </c>
      <c r="Y31" s="439">
        <f t="shared" si="18"/>
        <v>-30000000</v>
      </c>
      <c r="Z31" s="439">
        <f t="shared" si="18"/>
        <v>0</v>
      </c>
      <c r="AA31" s="439">
        <f t="shared" si="18"/>
        <v>300000000</v>
      </c>
      <c r="AB31" s="439">
        <f t="shared" si="18"/>
        <v>-300000000</v>
      </c>
      <c r="AC31" s="439">
        <f t="shared" si="18"/>
        <v>186800000</v>
      </c>
      <c r="AD31" s="439">
        <f t="shared" si="18"/>
        <v>153200000</v>
      </c>
      <c r="AE31" s="439">
        <f t="shared" si="18"/>
        <v>-190000000</v>
      </c>
      <c r="AF31" s="439">
        <f t="shared" si="18"/>
        <v>190000000</v>
      </c>
      <c r="AG31" s="413">
        <f t="shared" si="18"/>
        <v>357500000</v>
      </c>
      <c r="AH31" s="410"/>
    </row>
    <row r="32" spans="1:34" s="400" customFormat="1" ht="15.95" customHeight="1">
      <c r="A32" s="1002"/>
      <c r="B32" s="2070"/>
      <c r="C32" s="2602" t="s">
        <v>1527</v>
      </c>
      <c r="D32" s="2603"/>
      <c r="E32" s="2603"/>
      <c r="F32" s="1808">
        <f t="shared" si="17"/>
        <v>-266</v>
      </c>
      <c r="G32" s="1808">
        <f t="shared" si="13"/>
        <v>3957</v>
      </c>
      <c r="H32" s="1808">
        <f t="shared" si="3"/>
        <v>-489</v>
      </c>
      <c r="I32" s="1808">
        <f t="shared" si="4"/>
        <v>-512</v>
      </c>
      <c r="J32" s="1808">
        <f t="shared" si="5"/>
        <v>-397</v>
      </c>
      <c r="K32" s="1808">
        <f t="shared" si="6"/>
        <v>491</v>
      </c>
      <c r="L32" s="1808">
        <f t="shared" si="7"/>
        <v>-554</v>
      </c>
      <c r="M32" s="1808">
        <f t="shared" si="8"/>
        <v>-562</v>
      </c>
      <c r="N32" s="1808">
        <f t="shared" si="9"/>
        <v>420</v>
      </c>
      <c r="O32" s="1808">
        <f t="shared" si="14"/>
        <v>-597</v>
      </c>
      <c r="P32" s="1808">
        <f t="shared" si="12"/>
        <v>-517</v>
      </c>
      <c r="Q32" s="669"/>
      <c r="R32" s="442"/>
      <c r="S32" s="404">
        <v>111</v>
      </c>
      <c r="T32" s="401"/>
      <c r="U32" s="404"/>
      <c r="V32" s="451" t="s">
        <v>223</v>
      </c>
      <c r="W32" s="439">
        <f t="shared" si="18"/>
        <v>-266082000</v>
      </c>
      <c r="X32" s="439">
        <f t="shared" si="18"/>
        <v>3957462000</v>
      </c>
      <c r="Y32" s="439">
        <f t="shared" si="18"/>
        <v>-489960000</v>
      </c>
      <c r="Z32" s="439">
        <f t="shared" si="18"/>
        <v>-512910000</v>
      </c>
      <c r="AA32" s="439">
        <f t="shared" si="18"/>
        <v>-397130000</v>
      </c>
      <c r="AB32" s="439">
        <f t="shared" si="18"/>
        <v>491400000</v>
      </c>
      <c r="AC32" s="439">
        <f t="shared" si="18"/>
        <v>-554660000</v>
      </c>
      <c r="AD32" s="439">
        <f t="shared" si="18"/>
        <v>-562520000</v>
      </c>
      <c r="AE32" s="439">
        <f t="shared" si="18"/>
        <v>420810000</v>
      </c>
      <c r="AF32" s="439">
        <f t="shared" si="18"/>
        <v>-597170000</v>
      </c>
      <c r="AG32" s="413">
        <f t="shared" si="18"/>
        <v>-517860000</v>
      </c>
      <c r="AH32" s="410"/>
    </row>
    <row r="33" spans="1:36" s="400" customFormat="1" ht="15.95" hidden="1" customHeight="1" outlineLevel="1">
      <c r="A33" s="1002"/>
      <c r="B33" s="2070"/>
      <c r="C33" s="2604" t="s">
        <v>1187</v>
      </c>
      <c r="D33" s="2605"/>
      <c r="E33" s="2605"/>
      <c r="F33" s="1807" t="str">
        <f t="shared" si="17"/>
        <v>-</v>
      </c>
      <c r="G33" s="1807" t="str">
        <f t="shared" si="13"/>
        <v>-</v>
      </c>
      <c r="H33" s="1807" t="str">
        <f t="shared" si="3"/>
        <v>-</v>
      </c>
      <c r="I33" s="1807" t="str">
        <f t="shared" si="4"/>
        <v>-</v>
      </c>
      <c r="J33" s="1807" t="str">
        <f t="shared" si="5"/>
        <v>-</v>
      </c>
      <c r="K33" s="1807" t="str">
        <f t="shared" si="6"/>
        <v>-</v>
      </c>
      <c r="L33" s="1807" t="str">
        <f t="shared" si="7"/>
        <v>-</v>
      </c>
      <c r="M33" s="1807" t="str">
        <f t="shared" si="8"/>
        <v>-</v>
      </c>
      <c r="N33" s="1807" t="str">
        <f t="shared" si="9"/>
        <v>-</v>
      </c>
      <c r="O33" s="1807" t="str">
        <f t="shared" si="14"/>
        <v>-</v>
      </c>
      <c r="P33" s="1807" t="str">
        <f t="shared" si="12"/>
        <v>-</v>
      </c>
      <c r="Q33" s="669"/>
      <c r="R33" s="442"/>
      <c r="S33" s="404">
        <v>113</v>
      </c>
      <c r="T33" s="401"/>
      <c r="U33" s="404"/>
      <c r="V33" s="451" t="s">
        <v>224</v>
      </c>
      <c r="W33" s="439">
        <f t="shared" si="18"/>
        <v>0</v>
      </c>
      <c r="X33" s="439">
        <f t="shared" si="18"/>
        <v>0</v>
      </c>
      <c r="Y33" s="439">
        <f t="shared" si="18"/>
        <v>0</v>
      </c>
      <c r="Z33" s="439">
        <f t="shared" si="18"/>
        <v>0</v>
      </c>
      <c r="AA33" s="439">
        <f t="shared" si="18"/>
        <v>0</v>
      </c>
      <c r="AB33" s="439">
        <f t="shared" si="18"/>
        <v>0</v>
      </c>
      <c r="AC33" s="439">
        <f t="shared" si="18"/>
        <v>0</v>
      </c>
      <c r="AD33" s="439">
        <f t="shared" si="18"/>
        <v>0</v>
      </c>
      <c r="AE33" s="439">
        <f t="shared" si="18"/>
        <v>0</v>
      </c>
      <c r="AF33" s="439">
        <f t="shared" si="18"/>
        <v>0</v>
      </c>
      <c r="AG33" s="413">
        <f t="shared" si="18"/>
        <v>0</v>
      </c>
      <c r="AH33" s="410"/>
    </row>
    <row r="34" spans="1:36" s="400" customFormat="1" ht="15.95" customHeight="1" collapsed="1">
      <c r="A34" s="1002"/>
      <c r="B34" s="2070"/>
      <c r="C34" s="2604" t="s">
        <v>1408</v>
      </c>
      <c r="D34" s="2605"/>
      <c r="E34" s="2605"/>
      <c r="F34" s="1807">
        <f t="shared" si="17"/>
        <v>-1145</v>
      </c>
      <c r="G34" s="1807">
        <f t="shared" si="13"/>
        <v>-8230</v>
      </c>
      <c r="H34" s="1807" t="str">
        <f t="shared" si="3"/>
        <v>▲0</v>
      </c>
      <c r="I34" s="1807">
        <f t="shared" si="4"/>
        <v>-2359</v>
      </c>
      <c r="J34" s="1807">
        <f t="shared" si="5"/>
        <v>-7641</v>
      </c>
      <c r="K34" s="1807">
        <f t="shared" si="6"/>
        <v>-978</v>
      </c>
      <c r="L34" s="1807">
        <f t="shared" si="7"/>
        <v>-7973</v>
      </c>
      <c r="M34" s="1807">
        <f t="shared" si="8"/>
        <v>-1632</v>
      </c>
      <c r="N34" s="1807">
        <f t="shared" si="9"/>
        <v>-12697</v>
      </c>
      <c r="O34" s="1807">
        <f t="shared" si="14"/>
        <v>-10000</v>
      </c>
      <c r="P34" s="1807">
        <f t="shared" si="12"/>
        <v>-16000</v>
      </c>
      <c r="Q34" s="669"/>
      <c r="R34" s="442"/>
      <c r="S34" s="404">
        <v>114</v>
      </c>
      <c r="T34" s="401"/>
      <c r="U34" s="404"/>
      <c r="V34" s="451" t="s">
        <v>228</v>
      </c>
      <c r="W34" s="439">
        <f t="shared" si="18"/>
        <v>-1145735334</v>
      </c>
      <c r="X34" s="439">
        <f t="shared" si="18"/>
        <v>-8230327000</v>
      </c>
      <c r="Y34" s="439">
        <f t="shared" si="18"/>
        <v>-21420</v>
      </c>
      <c r="Z34" s="439">
        <f t="shared" si="18"/>
        <v>-2359202599</v>
      </c>
      <c r="AA34" s="439">
        <f t="shared" si="18"/>
        <v>-7641035960</v>
      </c>
      <c r="AB34" s="439">
        <f t="shared" si="18"/>
        <v>-978128700</v>
      </c>
      <c r="AC34" s="439">
        <f t="shared" si="18"/>
        <v>-7973021167</v>
      </c>
      <c r="AD34" s="439">
        <f t="shared" si="18"/>
        <v>-1632062500</v>
      </c>
      <c r="AE34" s="439">
        <f t="shared" si="18"/>
        <v>-12697497657</v>
      </c>
      <c r="AF34" s="439">
        <f t="shared" si="18"/>
        <v>-10000823478</v>
      </c>
      <c r="AG34" s="413">
        <f t="shared" si="18"/>
        <v>-16000107910</v>
      </c>
      <c r="AH34" s="410"/>
    </row>
    <row r="35" spans="1:36" s="400" customFormat="1" ht="15.95" customHeight="1">
      <c r="A35" s="1002"/>
      <c r="B35" s="2070"/>
      <c r="C35" s="2602" t="s">
        <v>1409</v>
      </c>
      <c r="D35" s="2603"/>
      <c r="E35" s="2603"/>
      <c r="F35" s="1808">
        <f t="shared" si="17"/>
        <v>-10266</v>
      </c>
      <c r="G35" s="1808">
        <f t="shared" si="13"/>
        <v>-11178</v>
      </c>
      <c r="H35" s="1808">
        <f t="shared" si="3"/>
        <v>-11878</v>
      </c>
      <c r="I35" s="1808">
        <f t="shared" si="4"/>
        <v>-12438</v>
      </c>
      <c r="J35" s="1808">
        <f t="shared" si="5"/>
        <v>-12920</v>
      </c>
      <c r="K35" s="1808">
        <f t="shared" si="6"/>
        <v>-14364</v>
      </c>
      <c r="L35" s="1808">
        <f t="shared" si="7"/>
        <v>-14218</v>
      </c>
      <c r="M35" s="1808">
        <f t="shared" si="8"/>
        <v>-17323</v>
      </c>
      <c r="N35" s="1808">
        <f t="shared" si="9"/>
        <v>-16596</v>
      </c>
      <c r="O35" s="1808">
        <f t="shared" si="14"/>
        <v>-19695</v>
      </c>
      <c r="P35" s="1808">
        <f t="shared" si="12"/>
        <v>-22475</v>
      </c>
      <c r="Q35" s="669"/>
      <c r="R35" s="442"/>
      <c r="S35" s="404">
        <v>117</v>
      </c>
      <c r="T35" s="401"/>
      <c r="U35" s="404"/>
      <c r="V35" s="451" t="s">
        <v>161</v>
      </c>
      <c r="W35" s="439">
        <f t="shared" si="18"/>
        <v>-10266427734</v>
      </c>
      <c r="X35" s="439">
        <f t="shared" si="18"/>
        <v>-11178648217</v>
      </c>
      <c r="Y35" s="439">
        <f t="shared" si="18"/>
        <v>-11878215658</v>
      </c>
      <c r="Z35" s="439">
        <f t="shared" si="18"/>
        <v>-12438258082</v>
      </c>
      <c r="AA35" s="439">
        <f t="shared" si="18"/>
        <v>-12920236823</v>
      </c>
      <c r="AB35" s="439">
        <f t="shared" si="18"/>
        <v>-14364125168</v>
      </c>
      <c r="AC35" s="439">
        <f t="shared" si="18"/>
        <v>-14218349260</v>
      </c>
      <c r="AD35" s="439">
        <f t="shared" si="18"/>
        <v>-17323190689</v>
      </c>
      <c r="AE35" s="439">
        <f t="shared" si="18"/>
        <v>-16596889768</v>
      </c>
      <c r="AF35" s="439">
        <f t="shared" si="18"/>
        <v>-19695481127</v>
      </c>
      <c r="AG35" s="413">
        <f t="shared" si="18"/>
        <v>-22475210567</v>
      </c>
      <c r="AH35" s="8"/>
    </row>
    <row r="36" spans="1:36" s="400" customFormat="1" ht="15.95" customHeight="1">
      <c r="A36" s="1002"/>
      <c r="B36" s="2070"/>
      <c r="C36" s="2606" t="s">
        <v>1396</v>
      </c>
      <c r="D36" s="2607"/>
      <c r="E36" s="2607"/>
      <c r="F36" s="1807">
        <f t="shared" si="17"/>
        <v>-729</v>
      </c>
      <c r="G36" s="1807">
        <f t="shared" si="13"/>
        <v>1930</v>
      </c>
      <c r="H36" s="1807">
        <f t="shared" si="3"/>
        <v>235</v>
      </c>
      <c r="I36" s="1807">
        <f>IF(AND(Z36&lt;0,-1000000&lt;=Z36),"▲"&amp;IF(Z36=0,"-",ROUNDDOWN(Z36,-6)/1000000),IF(Z36=0,"-",ROUNDDOWN(Z36,-6)/1000000))</f>
        <v>-4358</v>
      </c>
      <c r="J36" s="1807">
        <f t="shared" si="5"/>
        <v>3695</v>
      </c>
      <c r="K36" s="1807">
        <f t="shared" si="6"/>
        <v>115</v>
      </c>
      <c r="L36" s="1807">
        <f t="shared" si="7"/>
        <v>-2121</v>
      </c>
      <c r="M36" s="1807">
        <f t="shared" si="8"/>
        <v>2243</v>
      </c>
      <c r="N36" s="1807">
        <f>IF(AND(AE36&lt;0,-1000000&lt;=AE36),"▲"&amp;IF(AE36=0,"-",ROUNDDOWN(AE36,-6)/1000000),IF(AE36=0,"-",ROUNDDOWN(AE36,-6)/1000000))</f>
        <v>876</v>
      </c>
      <c r="O36" s="1807">
        <f>IF(AND(AF36&lt;0,-1000000&lt;=AF36),"▲"&amp;IF(AF36=0,"-",ROUNDDOWN(AF36,-6)/1000000),IF(AF36=0,"-",ROUNDDOWN(AF36,-6)/1000000))</f>
        <v>151</v>
      </c>
      <c r="P36" s="1807">
        <f>IF(AND(AG36&lt;0,-1000000&lt;=AG36),"▲"&amp;IF(AG36=0,"-",ROUNDDOWN(AG36,-6)/1000000),IF(AG36=0,"-",ROUNDDOWN(AG36,-6)/1000000))</f>
        <v>207</v>
      </c>
      <c r="Q36" s="669"/>
      <c r="R36" s="442"/>
      <c r="S36" s="404">
        <v>119</v>
      </c>
      <c r="T36" s="401"/>
      <c r="U36" s="404"/>
      <c r="V36" s="452" t="s">
        <v>156</v>
      </c>
      <c r="W36" s="441">
        <f t="shared" si="18"/>
        <v>-729674855</v>
      </c>
      <c r="X36" s="441">
        <f t="shared" si="18"/>
        <v>1930695658</v>
      </c>
      <c r="Y36" s="441">
        <f t="shared" si="18"/>
        <v>235411273</v>
      </c>
      <c r="Z36" s="441">
        <f t="shared" si="18"/>
        <v>-4358314756</v>
      </c>
      <c r="AA36" s="441">
        <f t="shared" si="18"/>
        <v>3695149028</v>
      </c>
      <c r="AB36" s="441">
        <f t="shared" si="18"/>
        <v>115440935</v>
      </c>
      <c r="AC36" s="441">
        <f t="shared" si="18"/>
        <v>-2121047285</v>
      </c>
      <c r="AD36" s="441">
        <f t="shared" si="18"/>
        <v>2243138923</v>
      </c>
      <c r="AE36" s="441">
        <f t="shared" si="18"/>
        <v>876200256</v>
      </c>
      <c r="AF36" s="441">
        <f t="shared" si="18"/>
        <v>151610103</v>
      </c>
      <c r="AG36" s="431">
        <f t="shared" si="18"/>
        <v>207370346</v>
      </c>
      <c r="AH36" s="8"/>
    </row>
    <row r="37" spans="1:36" s="400" customFormat="1" ht="15.75" thickBot="1">
      <c r="A37" s="1002"/>
      <c r="B37" s="2070"/>
      <c r="C37" s="2600" t="s">
        <v>1410</v>
      </c>
      <c r="D37" s="2601"/>
      <c r="E37" s="2601"/>
      <c r="F37" s="1527">
        <f t="shared" si="17"/>
        <v>-12427</v>
      </c>
      <c r="G37" s="1527">
        <f t="shared" si="13"/>
        <v>-13550</v>
      </c>
      <c r="H37" s="1527">
        <f t="shared" si="3"/>
        <v>-12162</v>
      </c>
      <c r="I37" s="1527">
        <f t="shared" si="4"/>
        <v>-19668</v>
      </c>
      <c r="J37" s="1527">
        <f t="shared" si="5"/>
        <v>-16963</v>
      </c>
      <c r="K37" s="1527">
        <f t="shared" si="6"/>
        <v>-15035</v>
      </c>
      <c r="L37" s="1527">
        <f t="shared" si="7"/>
        <v>-24680</v>
      </c>
      <c r="M37" s="1527">
        <f t="shared" si="8"/>
        <v>-17121</v>
      </c>
      <c r="N37" s="1527">
        <f t="shared" si="9"/>
        <v>-28187</v>
      </c>
      <c r="O37" s="1527">
        <f t="shared" si="14"/>
        <v>-29951</v>
      </c>
      <c r="P37" s="1527">
        <f t="shared" si="12"/>
        <v>-38428</v>
      </c>
      <c r="Q37" s="669"/>
      <c r="R37" s="442"/>
      <c r="S37" s="404">
        <v>120</v>
      </c>
      <c r="T37" s="443"/>
      <c r="U37" s="444"/>
      <c r="V37" s="445" t="s">
        <v>344</v>
      </c>
      <c r="W37" s="446">
        <f t="shared" si="18"/>
        <v>-12427919923</v>
      </c>
      <c r="X37" s="446">
        <f t="shared" si="18"/>
        <v>-13550817559</v>
      </c>
      <c r="Y37" s="446">
        <f t="shared" si="18"/>
        <v>-12162785805</v>
      </c>
      <c r="Z37" s="446">
        <f t="shared" si="18"/>
        <v>-19668685437</v>
      </c>
      <c r="AA37" s="446">
        <f t="shared" si="18"/>
        <v>-16963253755</v>
      </c>
      <c r="AB37" s="446">
        <f t="shared" si="18"/>
        <v>-15035412933</v>
      </c>
      <c r="AC37" s="446">
        <f t="shared" si="18"/>
        <v>-24680277712</v>
      </c>
      <c r="AD37" s="446">
        <f t="shared" si="18"/>
        <v>-17121434556</v>
      </c>
      <c r="AE37" s="446">
        <f t="shared" si="18"/>
        <v>-28187377169</v>
      </c>
      <c r="AF37" s="446">
        <f t="shared" si="18"/>
        <v>-29951864502</v>
      </c>
      <c r="AG37" s="447">
        <f t="shared" si="18"/>
        <v>-38428308131</v>
      </c>
      <c r="AH37" s="8"/>
    </row>
    <row r="38" spans="1:36" s="400" customFormat="1" ht="15.95" customHeight="1">
      <c r="A38" s="1002"/>
      <c r="B38" s="2626" t="s">
        <v>1411</v>
      </c>
      <c r="C38" s="2626"/>
      <c r="D38" s="2626"/>
      <c r="E38" s="2626"/>
      <c r="F38" s="1530">
        <f t="shared" si="17"/>
        <v>7907</v>
      </c>
      <c r="G38" s="1530">
        <f t="shared" si="13"/>
        <v>10507</v>
      </c>
      <c r="H38" s="1530">
        <f t="shared" si="3"/>
        <v>-14155</v>
      </c>
      <c r="I38" s="1530">
        <f t="shared" si="4"/>
        <v>11729</v>
      </c>
      <c r="J38" s="1530">
        <f t="shared" si="5"/>
        <v>5376</v>
      </c>
      <c r="K38" s="1530">
        <f t="shared" si="6"/>
        <v>14041</v>
      </c>
      <c r="L38" s="1530">
        <f t="shared" si="7"/>
        <v>10610</v>
      </c>
      <c r="M38" s="1530">
        <f t="shared" si="8"/>
        <v>10711</v>
      </c>
      <c r="N38" s="1530">
        <f t="shared" si="9"/>
        <v>16317</v>
      </c>
      <c r="O38" s="1530">
        <f t="shared" si="14"/>
        <v>2210</v>
      </c>
      <c r="P38" s="1530">
        <f t="shared" si="12"/>
        <v>-15786</v>
      </c>
      <c r="Q38" s="669"/>
      <c r="R38" s="442"/>
      <c r="S38" s="404">
        <v>121</v>
      </c>
      <c r="T38" s="454" t="s">
        <v>166</v>
      </c>
      <c r="U38" s="455" t="s">
        <v>174</v>
      </c>
      <c r="V38" s="456"/>
      <c r="W38" s="441">
        <f t="shared" si="18"/>
        <v>7907898166</v>
      </c>
      <c r="X38" s="441">
        <f t="shared" si="18"/>
        <v>10507920383</v>
      </c>
      <c r="Y38" s="441">
        <f t="shared" si="18"/>
        <v>-14155824821</v>
      </c>
      <c r="Z38" s="441">
        <f t="shared" si="18"/>
        <v>11729468364</v>
      </c>
      <c r="AA38" s="441">
        <f t="shared" si="18"/>
        <v>5376668117</v>
      </c>
      <c r="AB38" s="441">
        <f t="shared" si="18"/>
        <v>14041504720</v>
      </c>
      <c r="AC38" s="441">
        <f t="shared" si="18"/>
        <v>10610140851</v>
      </c>
      <c r="AD38" s="441">
        <f t="shared" si="18"/>
        <v>10711476530</v>
      </c>
      <c r="AE38" s="441">
        <f t="shared" si="18"/>
        <v>16317241957</v>
      </c>
      <c r="AF38" s="441">
        <f t="shared" si="18"/>
        <v>2210225231</v>
      </c>
      <c r="AG38" s="431">
        <f t="shared" si="18"/>
        <v>-15786159864</v>
      </c>
      <c r="AH38" s="8"/>
    </row>
    <row r="39" spans="1:36" s="400" customFormat="1" ht="15.95" customHeight="1">
      <c r="A39" s="1002"/>
      <c r="B39" s="2626" t="s">
        <v>1412</v>
      </c>
      <c r="C39" s="2626"/>
      <c r="D39" s="2626"/>
      <c r="E39" s="2626"/>
      <c r="F39" s="1530">
        <f t="shared" si="17"/>
        <v>29462</v>
      </c>
      <c r="G39" s="1530">
        <f t="shared" si="13"/>
        <v>37370</v>
      </c>
      <c r="H39" s="1530">
        <f t="shared" si="3"/>
        <v>47878</v>
      </c>
      <c r="I39" s="1530">
        <f t="shared" si="4"/>
        <v>33722</v>
      </c>
      <c r="J39" s="1530">
        <f t="shared" si="5"/>
        <v>45452</v>
      </c>
      <c r="K39" s="1530">
        <f t="shared" si="6"/>
        <v>50829</v>
      </c>
      <c r="L39" s="1530">
        <f t="shared" si="7"/>
        <v>64870</v>
      </c>
      <c r="M39" s="1530">
        <f t="shared" si="8"/>
        <v>75480</v>
      </c>
      <c r="N39" s="1530">
        <f t="shared" si="9"/>
        <v>86192</v>
      </c>
      <c r="O39" s="1530">
        <f t="shared" si="14"/>
        <v>102509</v>
      </c>
      <c r="P39" s="1530">
        <f t="shared" si="12"/>
        <v>104719</v>
      </c>
      <c r="Q39" s="669"/>
      <c r="R39" s="442"/>
      <c r="S39" s="404">
        <v>122</v>
      </c>
      <c r="T39" s="453" t="s">
        <v>167</v>
      </c>
      <c r="U39" s="457" t="s">
        <v>227</v>
      </c>
      <c r="V39" s="458"/>
      <c r="W39" s="459">
        <f t="shared" si="18"/>
        <v>29462962861</v>
      </c>
      <c r="X39" s="459">
        <f t="shared" si="18"/>
        <v>37370861027</v>
      </c>
      <c r="Y39" s="459">
        <f t="shared" si="18"/>
        <v>47878781410</v>
      </c>
      <c r="Z39" s="459">
        <f t="shared" si="18"/>
        <v>33722956589</v>
      </c>
      <c r="AA39" s="459">
        <f t="shared" si="18"/>
        <v>45452424953</v>
      </c>
      <c r="AB39" s="459">
        <f t="shared" si="18"/>
        <v>50829093070</v>
      </c>
      <c r="AC39" s="459">
        <f t="shared" si="18"/>
        <v>64870597790</v>
      </c>
      <c r="AD39" s="459">
        <f t="shared" si="18"/>
        <v>75480738641</v>
      </c>
      <c r="AE39" s="459">
        <f t="shared" si="18"/>
        <v>86192215171</v>
      </c>
      <c r="AF39" s="459">
        <f t="shared" si="18"/>
        <v>102509457128</v>
      </c>
      <c r="AG39" s="436">
        <f t="shared" si="18"/>
        <v>104719682359</v>
      </c>
      <c r="AH39" s="8"/>
    </row>
    <row r="40" spans="1:36" s="400" customFormat="1" ht="15.95" customHeight="1" thickBot="1">
      <c r="A40" s="1002"/>
      <c r="B40" s="2626" t="s">
        <v>1413</v>
      </c>
      <c r="C40" s="2626"/>
      <c r="D40" s="2626"/>
      <c r="E40" s="2626"/>
      <c r="F40" s="1530">
        <f t="shared" si="17"/>
        <v>37370</v>
      </c>
      <c r="G40" s="1530">
        <f t="shared" si="13"/>
        <v>47878</v>
      </c>
      <c r="H40" s="1530">
        <f t="shared" si="3"/>
        <v>33722</v>
      </c>
      <c r="I40" s="1530">
        <f t="shared" si="4"/>
        <v>45452</v>
      </c>
      <c r="J40" s="1530">
        <f t="shared" si="5"/>
        <v>50829</v>
      </c>
      <c r="K40" s="1530">
        <f t="shared" si="6"/>
        <v>64870</v>
      </c>
      <c r="L40" s="1530">
        <f t="shared" si="7"/>
        <v>75480</v>
      </c>
      <c r="M40" s="1530">
        <f t="shared" si="8"/>
        <v>86192</v>
      </c>
      <c r="N40" s="1530">
        <f t="shared" si="9"/>
        <v>102509</v>
      </c>
      <c r="O40" s="1530">
        <f t="shared" si="14"/>
        <v>104719</v>
      </c>
      <c r="P40" s="1530">
        <f t="shared" si="12"/>
        <v>88933</v>
      </c>
      <c r="Q40" s="669"/>
      <c r="R40" s="442"/>
      <c r="S40" s="78">
        <v>124</v>
      </c>
      <c r="T40" s="460" t="s">
        <v>181</v>
      </c>
      <c r="U40" s="461" t="s">
        <v>162</v>
      </c>
      <c r="V40" s="462"/>
      <c r="W40" s="459">
        <f t="shared" si="18"/>
        <v>37370861027</v>
      </c>
      <c r="X40" s="459">
        <f t="shared" si="18"/>
        <v>47878781410</v>
      </c>
      <c r="Y40" s="463">
        <f t="shared" si="18"/>
        <v>33722956589</v>
      </c>
      <c r="Z40" s="463">
        <f t="shared" si="18"/>
        <v>45452424953</v>
      </c>
      <c r="AA40" s="463">
        <f t="shared" si="18"/>
        <v>50829093070</v>
      </c>
      <c r="AB40" s="463">
        <f t="shared" si="18"/>
        <v>64870597790</v>
      </c>
      <c r="AC40" s="463">
        <f t="shared" si="18"/>
        <v>75480738641</v>
      </c>
      <c r="AD40" s="463">
        <f t="shared" si="18"/>
        <v>86192215171</v>
      </c>
      <c r="AE40" s="463">
        <f t="shared" si="18"/>
        <v>102509457128</v>
      </c>
      <c r="AF40" s="464">
        <f t="shared" si="18"/>
        <v>104719682359</v>
      </c>
      <c r="AG40" s="447">
        <f t="shared" si="18"/>
        <v>88933522495</v>
      </c>
      <c r="AH40" s="8"/>
    </row>
    <row r="41" spans="1:36" s="400" customFormat="1" ht="15" customHeight="1">
      <c r="A41" s="1002"/>
      <c r="B41" s="1784"/>
      <c r="C41" s="1784"/>
      <c r="D41" s="1784"/>
      <c r="E41" s="1784"/>
      <c r="F41" s="669"/>
      <c r="G41" s="669"/>
      <c r="H41" s="669"/>
      <c r="I41" s="669"/>
      <c r="J41" s="669"/>
      <c r="K41" s="669"/>
      <c r="L41" s="669"/>
      <c r="M41" s="669"/>
      <c r="N41" s="669"/>
      <c r="O41" s="669"/>
      <c r="P41" s="669"/>
      <c r="Q41" s="669"/>
      <c r="R41" s="442"/>
      <c r="S41" s="78"/>
      <c r="T41" s="8"/>
      <c r="U41" s="8"/>
      <c r="V41" s="8"/>
      <c r="W41" s="465"/>
      <c r="X41" s="465"/>
      <c r="Y41" s="8"/>
      <c r="Z41" s="8"/>
      <c r="AA41" s="8"/>
      <c r="AB41" s="8"/>
      <c r="AC41" s="8"/>
      <c r="AD41" s="8"/>
      <c r="AE41" s="8"/>
      <c r="AF41" s="8"/>
      <c r="AG41" s="8"/>
      <c r="AH41" s="8"/>
    </row>
    <row r="42" spans="1:36" s="400" customFormat="1" ht="5.25" customHeight="1">
      <c r="A42" s="1002"/>
      <c r="B42" s="581"/>
      <c r="C42" s="1784"/>
      <c r="D42" s="1784"/>
      <c r="E42" s="1784"/>
      <c r="F42" s="669"/>
      <c r="G42" s="669"/>
      <c r="H42" s="669"/>
      <c r="I42" s="669"/>
      <c r="J42" s="669"/>
      <c r="K42" s="669"/>
      <c r="L42" s="669"/>
      <c r="M42" s="669"/>
      <c r="N42" s="669"/>
      <c r="O42" s="669"/>
      <c r="P42" s="669"/>
      <c r="Q42" s="669"/>
      <c r="R42" s="442"/>
      <c r="S42" s="80"/>
      <c r="T42" s="79"/>
      <c r="U42" s="144" t="s">
        <v>292</v>
      </c>
      <c r="V42" s="80"/>
      <c r="W42" s="442"/>
      <c r="X42" s="442"/>
      <c r="Y42" s="442"/>
      <c r="Z42" s="442"/>
      <c r="AA42" s="442"/>
      <c r="AB42" s="80"/>
      <c r="AC42" s="442"/>
      <c r="AD42" s="442"/>
      <c r="AE42" s="442"/>
      <c r="AF42" s="80"/>
      <c r="AG42" s="80"/>
      <c r="AH42" s="8"/>
    </row>
    <row r="43" spans="1:36" s="400" customFormat="1" ht="15" customHeight="1">
      <c r="A43" s="1002"/>
      <c r="B43" s="582"/>
      <c r="C43" s="1785"/>
      <c r="D43" s="582"/>
      <c r="E43" s="581"/>
      <c r="F43" s="668"/>
      <c r="G43" s="668"/>
      <c r="H43" s="668"/>
      <c r="I43" s="906"/>
      <c r="J43" s="668"/>
      <c r="K43" s="906"/>
      <c r="L43" s="668"/>
      <c r="M43" s="668"/>
      <c r="N43" s="906"/>
      <c r="O43" s="906"/>
      <c r="P43" s="906"/>
      <c r="Q43" s="669"/>
      <c r="R43" s="442"/>
      <c r="S43" s="80"/>
      <c r="T43" s="79"/>
      <c r="U43" s="466" t="s">
        <v>375</v>
      </c>
      <c r="V43" s="80"/>
      <c r="W43" s="442"/>
      <c r="X43" s="442"/>
      <c r="Y43" s="442"/>
      <c r="Z43" s="442"/>
      <c r="AA43" s="442"/>
      <c r="AB43" s="80"/>
      <c r="AC43" s="442"/>
      <c r="AD43" s="442"/>
      <c r="AE43" s="442"/>
      <c r="AF43" s="80"/>
      <c r="AG43" s="80"/>
      <c r="AH43" s="8"/>
    </row>
    <row r="44" spans="1:36" s="400" customFormat="1" ht="9.75" customHeight="1">
      <c r="A44" s="1002"/>
      <c r="B44" s="582"/>
      <c r="C44" s="581"/>
      <c r="D44" s="582"/>
      <c r="E44" s="581"/>
      <c r="F44" s="668"/>
      <c r="G44" s="668"/>
      <c r="H44" s="668"/>
      <c r="I44" s="906"/>
      <c r="J44" s="668"/>
      <c r="K44" s="906"/>
      <c r="L44" s="668"/>
      <c r="M44" s="668"/>
      <c r="N44" s="906"/>
      <c r="O44" s="906"/>
      <c r="P44" s="906"/>
      <c r="Q44" s="669"/>
      <c r="R44" s="442"/>
      <c r="S44" s="80"/>
      <c r="T44" s="79"/>
      <c r="U44" s="466" t="s">
        <v>82</v>
      </c>
      <c r="V44" s="80"/>
      <c r="W44" s="442"/>
      <c r="X44" s="442"/>
      <c r="Y44" s="442"/>
      <c r="Z44" s="442"/>
      <c r="AA44" s="442"/>
      <c r="AB44" s="80"/>
      <c r="AC44" s="442"/>
      <c r="AD44" s="442"/>
      <c r="AE44" s="442"/>
      <c r="AF44" s="80"/>
      <c r="AG44" s="80"/>
      <c r="AH44" s="8"/>
    </row>
    <row r="45" spans="1:36" s="400" customFormat="1" ht="15" customHeight="1">
      <c r="A45" s="1002"/>
      <c r="B45" s="582"/>
      <c r="C45" s="581"/>
      <c r="D45" s="582"/>
      <c r="E45" s="581"/>
      <c r="F45" s="668"/>
      <c r="G45" s="668"/>
      <c r="H45" s="668"/>
      <c r="I45" s="906"/>
      <c r="J45" s="668"/>
      <c r="K45" s="906"/>
      <c r="L45" s="668"/>
      <c r="M45" s="668"/>
      <c r="N45" s="906"/>
      <c r="O45" s="906"/>
      <c r="P45" s="906"/>
      <c r="Q45" s="906"/>
      <c r="R45" s="442"/>
      <c r="S45" s="80"/>
      <c r="T45" s="79"/>
      <c r="U45" s="466" t="s">
        <v>148</v>
      </c>
      <c r="V45" s="80"/>
      <c r="W45" s="442"/>
      <c r="X45" s="442"/>
      <c r="Y45" s="442"/>
      <c r="Z45" s="442"/>
      <c r="AA45" s="442"/>
      <c r="AB45" s="80"/>
      <c r="AC45" s="442"/>
      <c r="AD45" s="442"/>
      <c r="AE45" s="442"/>
      <c r="AF45" s="80"/>
      <c r="AG45" s="80"/>
      <c r="AH45" s="8"/>
    </row>
    <row r="46" spans="1:36" s="400" customFormat="1" ht="24" customHeight="1">
      <c r="A46" s="1002"/>
      <c r="B46" s="582"/>
      <c r="C46" s="581"/>
      <c r="D46" s="582"/>
      <c r="E46" s="581"/>
      <c r="F46" s="668"/>
      <c r="G46" s="668"/>
      <c r="H46" s="668"/>
      <c r="I46" s="906"/>
      <c r="J46" s="668"/>
      <c r="K46" s="906"/>
      <c r="L46" s="668"/>
      <c r="M46" s="668"/>
      <c r="N46" s="906"/>
      <c r="O46" s="906"/>
      <c r="P46" s="906"/>
      <c r="Q46" s="906"/>
      <c r="R46" s="442"/>
      <c r="S46" s="80"/>
      <c r="T46" s="79"/>
      <c r="U46" s="466" t="s">
        <v>150</v>
      </c>
      <c r="V46" s="80"/>
      <c r="W46" s="80"/>
      <c r="X46" s="80"/>
      <c r="Y46" s="80"/>
      <c r="Z46" s="80"/>
      <c r="AA46" s="80"/>
      <c r="AB46" s="442"/>
      <c r="AC46" s="80"/>
      <c r="AD46" s="80"/>
      <c r="AE46" s="442"/>
      <c r="AF46" s="442"/>
      <c r="AG46" s="80"/>
      <c r="AH46" s="8"/>
    </row>
    <row r="47" spans="1:36" s="400" customFormat="1" ht="19.5" customHeight="1">
      <c r="B47" s="582"/>
      <c r="C47" s="581"/>
      <c r="D47" s="582"/>
      <c r="E47" s="581"/>
      <c r="F47" s="80"/>
      <c r="G47" s="80"/>
      <c r="H47" s="80"/>
      <c r="I47" s="442"/>
      <c r="J47" s="80"/>
      <c r="K47" s="442"/>
      <c r="L47" s="80"/>
      <c r="M47" s="80"/>
      <c r="N47" s="442"/>
      <c r="O47" s="442"/>
      <c r="P47" s="442"/>
      <c r="Q47" s="442"/>
      <c r="R47" s="442"/>
      <c r="S47" s="80"/>
      <c r="T47" s="79"/>
      <c r="U47" s="400" t="s">
        <v>436</v>
      </c>
      <c r="W47" s="80"/>
      <c r="X47" s="80"/>
      <c r="Y47" s="80"/>
      <c r="Z47" s="80"/>
      <c r="AA47" s="80"/>
      <c r="AB47" s="442"/>
      <c r="AC47" s="80"/>
      <c r="AD47" s="80"/>
      <c r="AE47" s="442"/>
      <c r="AF47" s="442"/>
      <c r="AG47" s="442"/>
      <c r="AH47" s="8"/>
    </row>
    <row r="48" spans="1:36" s="400" customFormat="1" ht="15" customHeight="1">
      <c r="B48" s="582"/>
      <c r="C48" s="581"/>
      <c r="D48" s="582"/>
      <c r="E48" s="581"/>
      <c r="F48" s="80"/>
      <c r="G48" s="80"/>
      <c r="H48" s="80"/>
      <c r="I48" s="442"/>
      <c r="J48" s="80"/>
      <c r="K48" s="442"/>
      <c r="L48" s="80"/>
      <c r="M48" s="80"/>
      <c r="N48" s="442"/>
      <c r="O48" s="442"/>
      <c r="P48" s="442"/>
      <c r="Q48" s="442"/>
      <c r="R48" s="442"/>
      <c r="S48" s="80"/>
      <c r="T48" s="79"/>
      <c r="V48" s="400" t="s">
        <v>440</v>
      </c>
      <c r="W48" s="80"/>
      <c r="X48" s="80" t="s">
        <v>437</v>
      </c>
      <c r="Y48" s="80"/>
      <c r="Z48" s="80"/>
      <c r="AA48" s="80"/>
      <c r="AB48" s="442"/>
      <c r="AC48" s="80"/>
      <c r="AD48" s="80"/>
      <c r="AE48" s="442"/>
      <c r="AF48" s="442"/>
      <c r="AG48" s="442"/>
      <c r="AH48" s="8"/>
      <c r="AJ48" s="467"/>
    </row>
    <row r="49" spans="1:39" s="400" customFormat="1" ht="15" customHeight="1">
      <c r="B49" s="582"/>
      <c r="C49" s="581"/>
      <c r="D49" s="582"/>
      <c r="E49" s="581"/>
      <c r="F49" s="80"/>
      <c r="G49" s="80"/>
      <c r="H49" s="80"/>
      <c r="I49" s="442"/>
      <c r="J49" s="80"/>
      <c r="K49" s="442"/>
      <c r="L49" s="80"/>
      <c r="M49" s="80"/>
      <c r="N49" s="442"/>
      <c r="O49" s="442"/>
      <c r="P49" s="442"/>
      <c r="Q49" s="442"/>
      <c r="R49" s="442"/>
      <c r="S49" s="80"/>
      <c r="T49" s="79"/>
      <c r="V49" s="400" t="s">
        <v>438</v>
      </c>
      <c r="AG49" s="442"/>
      <c r="AH49" s="8"/>
    </row>
    <row r="50" spans="1:39" s="400" customFormat="1" ht="15" customHeight="1">
      <c r="B50" s="582"/>
      <c r="C50" s="581"/>
      <c r="D50" s="582"/>
      <c r="E50" s="581"/>
      <c r="F50" s="80"/>
      <c r="G50" s="80"/>
      <c r="H50" s="80"/>
      <c r="I50" s="442"/>
      <c r="J50" s="80"/>
      <c r="K50" s="442"/>
      <c r="L50" s="80"/>
      <c r="M50" s="80"/>
      <c r="N50" s="442"/>
      <c r="O50" s="442"/>
      <c r="P50" s="442"/>
      <c r="Q50" s="442"/>
      <c r="R50" s="442"/>
      <c r="S50" s="80"/>
      <c r="T50" s="79"/>
      <c r="U50" s="468" t="s">
        <v>149</v>
      </c>
      <c r="V50" s="80"/>
    </row>
    <row r="51" spans="1:39" s="400" customFormat="1" ht="16.5" customHeight="1">
      <c r="A51" s="80"/>
      <c r="B51" s="582"/>
      <c r="C51" s="581"/>
      <c r="D51" s="582"/>
      <c r="E51" s="581"/>
      <c r="F51" s="80"/>
      <c r="G51" s="80"/>
      <c r="H51" s="80"/>
      <c r="I51" s="442"/>
      <c r="J51" s="80"/>
      <c r="K51" s="442"/>
      <c r="L51" s="80"/>
      <c r="M51" s="80"/>
      <c r="N51" s="442"/>
      <c r="O51" s="442"/>
      <c r="P51" s="442"/>
      <c r="Q51" s="442"/>
      <c r="R51" s="442"/>
      <c r="S51" s="80"/>
      <c r="T51" s="79"/>
      <c r="U51" s="468" t="s">
        <v>327</v>
      </c>
      <c r="V51" s="80"/>
      <c r="W51" s="80"/>
      <c r="X51" s="80"/>
      <c r="Y51" s="80"/>
      <c r="Z51" s="80"/>
      <c r="AA51" s="80"/>
      <c r="AB51" s="442"/>
      <c r="AC51" s="80"/>
      <c r="AD51" s="80"/>
      <c r="AE51" s="442"/>
      <c r="AF51" s="442"/>
      <c r="AG51" s="442"/>
      <c r="AH51" s="8"/>
    </row>
    <row r="52" spans="1:39" s="400" customFormat="1" ht="16.5" customHeight="1">
      <c r="A52" s="80"/>
      <c r="B52" s="582"/>
      <c r="C52" s="581"/>
      <c r="D52" s="582"/>
      <c r="E52" s="581"/>
      <c r="F52" s="80"/>
      <c r="G52" s="80"/>
      <c r="H52" s="80"/>
      <c r="I52" s="442"/>
      <c r="J52" s="80"/>
      <c r="K52" s="442"/>
      <c r="L52" s="80"/>
      <c r="M52" s="80"/>
      <c r="N52" s="442"/>
      <c r="O52" s="442"/>
      <c r="P52" s="442"/>
      <c r="Q52" s="442"/>
      <c r="R52" s="442"/>
      <c r="S52" s="80"/>
      <c r="T52" s="79"/>
      <c r="U52" s="400" t="s">
        <v>451</v>
      </c>
      <c r="V52" s="80"/>
      <c r="W52" s="80"/>
      <c r="X52" s="80"/>
      <c r="Y52" s="80"/>
      <c r="Z52" s="80"/>
      <c r="AA52" s="80"/>
      <c r="AB52" s="442"/>
      <c r="AC52" s="80"/>
      <c r="AD52" s="80"/>
      <c r="AE52" s="442"/>
      <c r="AF52" s="442"/>
      <c r="AG52" s="442"/>
      <c r="AH52" s="8"/>
    </row>
    <row r="53" spans="1:39" s="400" customFormat="1" ht="16.5" customHeight="1">
      <c r="A53" s="80"/>
      <c r="B53" s="582"/>
      <c r="C53" s="581"/>
      <c r="D53" s="582"/>
      <c r="E53" s="581"/>
      <c r="F53" s="80"/>
      <c r="G53" s="80"/>
      <c r="H53" s="80"/>
      <c r="I53" s="442"/>
      <c r="J53" s="80"/>
      <c r="K53" s="442"/>
      <c r="L53" s="80"/>
      <c r="M53" s="80"/>
      <c r="N53" s="442"/>
      <c r="O53" s="442"/>
      <c r="P53" s="442"/>
      <c r="Q53" s="442"/>
      <c r="R53" s="442"/>
      <c r="S53" s="80"/>
      <c r="T53" s="79"/>
      <c r="U53" s="468"/>
      <c r="V53" s="80" t="s">
        <v>452</v>
      </c>
      <c r="W53" s="80"/>
      <c r="X53" s="80"/>
      <c r="Y53" s="80"/>
      <c r="Z53" s="80"/>
      <c r="AA53" s="80"/>
      <c r="AB53" s="442"/>
      <c r="AC53" s="80"/>
      <c r="AD53" s="80"/>
      <c r="AE53" s="442"/>
      <c r="AF53" s="442"/>
      <c r="AG53" s="442"/>
      <c r="AH53" s="8"/>
    </row>
    <row r="54" spans="1:39" s="400" customFormat="1" ht="16.5" customHeight="1">
      <c r="A54" s="80"/>
      <c r="B54" s="582"/>
      <c r="C54" s="581"/>
      <c r="D54" s="582"/>
      <c r="E54" s="581"/>
      <c r="F54" s="80"/>
      <c r="G54" s="80"/>
      <c r="H54" s="80"/>
      <c r="I54" s="442"/>
      <c r="J54" s="80"/>
      <c r="K54" s="442"/>
      <c r="L54" s="80"/>
      <c r="M54" s="80"/>
      <c r="N54" s="442"/>
      <c r="O54" s="442"/>
      <c r="P54" s="442"/>
      <c r="Q54" s="442"/>
      <c r="R54" s="442"/>
      <c r="S54" s="80"/>
      <c r="T54" s="79"/>
      <c r="U54" s="468"/>
      <c r="V54" s="80" t="s">
        <v>453</v>
      </c>
      <c r="W54" s="80"/>
      <c r="X54" s="80"/>
      <c r="Y54" s="80"/>
      <c r="Z54" s="80"/>
      <c r="AA54" s="80"/>
      <c r="AB54" s="442"/>
      <c r="AC54" s="80"/>
      <c r="AD54" s="80"/>
      <c r="AE54" s="442"/>
      <c r="AF54" s="442"/>
      <c r="AG54" s="442"/>
      <c r="AH54" s="8"/>
    </row>
    <row r="55" spans="1:39" s="400" customFormat="1" ht="16.5" customHeight="1">
      <c r="A55" s="80"/>
      <c r="B55" s="582"/>
      <c r="C55" s="581"/>
      <c r="D55" s="582"/>
      <c r="E55" s="581"/>
      <c r="F55" s="80"/>
      <c r="G55" s="80"/>
      <c r="H55" s="80"/>
      <c r="I55" s="442"/>
      <c r="J55" s="80"/>
      <c r="K55" s="442"/>
      <c r="L55" s="80"/>
      <c r="M55" s="80"/>
      <c r="N55" s="442"/>
      <c r="O55" s="442"/>
      <c r="P55" s="442"/>
      <c r="Q55" s="442"/>
      <c r="R55" s="442"/>
      <c r="S55" s="80"/>
      <c r="T55" s="79"/>
      <c r="U55" s="468"/>
      <c r="V55" s="80" t="s">
        <v>454</v>
      </c>
      <c r="W55" s="80"/>
      <c r="X55" s="80"/>
      <c r="Y55" s="80"/>
      <c r="Z55" s="80"/>
      <c r="AA55" s="80"/>
      <c r="AB55" s="442"/>
      <c r="AC55" s="80"/>
      <c r="AD55" s="80"/>
      <c r="AE55" s="442"/>
      <c r="AF55" s="442"/>
      <c r="AG55" s="442"/>
      <c r="AH55" s="8"/>
    </row>
    <row r="56" spans="1:39" s="400" customFormat="1" ht="16.5" customHeight="1">
      <c r="A56" s="80"/>
      <c r="B56" s="582"/>
      <c r="C56" s="581"/>
      <c r="D56" s="582"/>
      <c r="E56" s="581"/>
      <c r="F56" s="80"/>
      <c r="G56" s="80"/>
      <c r="H56" s="80"/>
      <c r="I56" s="442"/>
      <c r="J56" s="80"/>
      <c r="K56" s="442"/>
      <c r="L56" s="80"/>
      <c r="M56" s="80"/>
      <c r="N56" s="442"/>
      <c r="O56" s="442"/>
      <c r="P56" s="442"/>
      <c r="Q56" s="442"/>
      <c r="R56" s="442"/>
      <c r="S56" s="80"/>
      <c r="T56" s="79"/>
      <c r="U56" s="400" t="s">
        <v>1132</v>
      </c>
      <c r="V56" s="80"/>
      <c r="W56" s="80"/>
      <c r="X56" s="80"/>
      <c r="Y56" s="80"/>
      <c r="Z56" s="80"/>
      <c r="AA56" s="80"/>
      <c r="AB56" s="442"/>
      <c r="AC56" s="80"/>
      <c r="AD56" s="80"/>
      <c r="AE56" s="442"/>
      <c r="AF56" s="442"/>
      <c r="AG56" s="442"/>
      <c r="AH56" s="8"/>
    </row>
    <row r="57" spans="1:39" s="400" customFormat="1" ht="16.5" customHeight="1">
      <c r="A57" s="80"/>
      <c r="B57" s="582"/>
      <c r="C57" s="581"/>
      <c r="D57" s="582"/>
      <c r="E57" s="581"/>
      <c r="F57" s="80"/>
      <c r="G57" s="80"/>
      <c r="H57" s="80"/>
      <c r="I57" s="442"/>
      <c r="J57" s="80"/>
      <c r="K57" s="442"/>
      <c r="L57" s="80"/>
      <c r="M57" s="80"/>
      <c r="N57" s="442"/>
      <c r="O57" s="442"/>
      <c r="P57" s="442"/>
      <c r="Q57" s="442"/>
      <c r="R57" s="442"/>
      <c r="S57" s="80"/>
      <c r="T57" s="79"/>
      <c r="U57" s="468"/>
      <c r="V57" s="80" t="s">
        <v>1133</v>
      </c>
      <c r="W57" s="80"/>
      <c r="X57" s="80"/>
      <c r="Y57" s="80"/>
      <c r="Z57" s="80"/>
      <c r="AA57" s="80"/>
      <c r="AB57" s="442"/>
      <c r="AC57" s="80"/>
      <c r="AD57" s="80"/>
      <c r="AE57" s="442"/>
      <c r="AF57" s="442"/>
      <c r="AG57" s="442"/>
      <c r="AH57" s="8"/>
    </row>
    <row r="58" spans="1:39" s="400" customFormat="1" ht="16.5" customHeight="1">
      <c r="A58" s="80"/>
      <c r="B58" s="582"/>
      <c r="C58" s="581"/>
      <c r="D58" s="582"/>
      <c r="E58" s="581"/>
      <c r="F58" s="80"/>
      <c r="G58" s="80"/>
      <c r="H58" s="80"/>
      <c r="I58" s="442"/>
      <c r="J58" s="80"/>
      <c r="K58" s="442"/>
      <c r="L58" s="80"/>
      <c r="M58" s="80"/>
      <c r="N58" s="442"/>
      <c r="O58" s="442"/>
      <c r="P58" s="442"/>
      <c r="Q58" s="442"/>
      <c r="R58" s="442"/>
      <c r="S58" s="80"/>
      <c r="T58" s="79"/>
      <c r="U58" s="468"/>
      <c r="V58" s="80" t="s">
        <v>1134</v>
      </c>
      <c r="W58" s="80"/>
      <c r="X58" s="80"/>
      <c r="Y58" s="80"/>
      <c r="Z58" s="80"/>
      <c r="AA58" s="80"/>
      <c r="AB58" s="442"/>
      <c r="AC58" s="80"/>
      <c r="AD58" s="80"/>
      <c r="AE58" s="442"/>
      <c r="AF58" s="442"/>
      <c r="AG58" s="442"/>
      <c r="AH58" s="8"/>
    </row>
    <row r="59" spans="1:39" ht="16.5" customHeight="1">
      <c r="U59" s="468"/>
      <c r="V59" s="80" t="s">
        <v>1135</v>
      </c>
      <c r="AH59" s="8"/>
      <c r="AI59" s="400"/>
      <c r="AJ59" s="400"/>
      <c r="AK59" s="400"/>
      <c r="AL59" s="400"/>
      <c r="AM59" s="400"/>
    </row>
    <row r="60" spans="1:39" ht="16.5" customHeight="1">
      <c r="U60" s="10"/>
      <c r="V60" s="394" t="s">
        <v>1704</v>
      </c>
      <c r="W60" s="469"/>
      <c r="X60" s="469"/>
      <c r="Y60" s="469"/>
      <c r="Z60" s="469"/>
      <c r="AA60" s="469"/>
      <c r="AB60" s="394"/>
      <c r="AC60" s="469"/>
      <c r="AD60" s="469"/>
      <c r="AE60" s="469"/>
      <c r="AF60" s="394"/>
      <c r="AG60" s="394"/>
      <c r="AH60" s="8"/>
    </row>
    <row r="61" spans="1:39" ht="16.5" customHeight="1">
      <c r="U61" s="14"/>
      <c r="V61" s="470"/>
      <c r="W61" s="471">
        <v>2016.3</v>
      </c>
      <c r="X61" s="471">
        <v>2017.3</v>
      </c>
      <c r="Y61" s="471">
        <v>2018.3</v>
      </c>
      <c r="Z61" s="471">
        <v>2019.3</v>
      </c>
      <c r="AA61" s="471">
        <v>2020.3</v>
      </c>
      <c r="AB61" s="471">
        <v>2021.3</v>
      </c>
      <c r="AC61" s="471">
        <v>2022.3</v>
      </c>
      <c r="AD61" s="471">
        <v>2023.3</v>
      </c>
      <c r="AE61" s="471">
        <v>2024.3</v>
      </c>
      <c r="AF61" s="471">
        <v>2025.3</v>
      </c>
      <c r="AG61" s="471">
        <v>2026.3</v>
      </c>
      <c r="AH61" s="8"/>
    </row>
    <row r="62" spans="1:39" ht="16.5" customHeight="1">
      <c r="U62" s="402"/>
      <c r="V62" s="472" t="s">
        <v>42</v>
      </c>
      <c r="W62" s="473"/>
      <c r="X62" s="473"/>
      <c r="Y62" s="473"/>
      <c r="Z62" s="473"/>
      <c r="AA62" s="473"/>
      <c r="AB62" s="179"/>
      <c r="AC62" s="473"/>
      <c r="AD62" s="473"/>
      <c r="AE62" s="473"/>
      <c r="AF62" s="179"/>
      <c r="AG62" s="179"/>
      <c r="AH62" s="8"/>
    </row>
    <row r="63" spans="1:39" ht="16.5" customHeight="1">
      <c r="U63" s="414">
        <v>1</v>
      </c>
      <c r="V63" s="472" t="s">
        <v>450</v>
      </c>
      <c r="W63" s="473">
        <v>34418242903</v>
      </c>
      <c r="X63" s="473">
        <v>32481645826</v>
      </c>
      <c r="Y63" s="179">
        <v>36657234366</v>
      </c>
      <c r="Z63" s="473">
        <v>38330363838</v>
      </c>
      <c r="AA63" s="473">
        <v>32736018342</v>
      </c>
      <c r="AB63" s="473">
        <v>15220602389</v>
      </c>
      <c r="AC63" s="179">
        <v>43874819398</v>
      </c>
      <c r="AD63" s="179">
        <v>44501759411</v>
      </c>
      <c r="AE63" s="179">
        <v>48658486644</v>
      </c>
      <c r="AF63" s="179">
        <v>54955320204</v>
      </c>
      <c r="AG63" s="179">
        <v>60578674833</v>
      </c>
      <c r="AH63" s="8"/>
      <c r="AL63" s="474"/>
    </row>
    <row r="64" spans="1:39" ht="16.5" customHeight="1">
      <c r="U64" s="414">
        <v>2</v>
      </c>
      <c r="V64" s="472" t="s">
        <v>43</v>
      </c>
      <c r="W64" s="473">
        <v>3325985505</v>
      </c>
      <c r="X64" s="473">
        <v>4596647501</v>
      </c>
      <c r="Y64" s="179">
        <v>4983194733</v>
      </c>
      <c r="Z64" s="473">
        <v>5299215211</v>
      </c>
      <c r="AA64" s="473">
        <v>5037166339</v>
      </c>
      <c r="AB64" s="473">
        <v>5334395035</v>
      </c>
      <c r="AC64" s="179">
        <v>4959407081</v>
      </c>
      <c r="AD64" s="179">
        <v>4626206210</v>
      </c>
      <c r="AE64" s="179">
        <v>4600563767</v>
      </c>
      <c r="AF64" s="179">
        <v>4637024718</v>
      </c>
      <c r="AG64" s="179">
        <v>5070391413</v>
      </c>
      <c r="AH64" s="8"/>
      <c r="AL64" s="474"/>
    </row>
    <row r="65" spans="21:38" ht="16.5" customHeight="1">
      <c r="U65" s="414">
        <v>5</v>
      </c>
      <c r="V65" s="472" t="s">
        <v>44</v>
      </c>
      <c r="W65" s="473">
        <v>0</v>
      </c>
      <c r="X65" s="473">
        <v>29314223</v>
      </c>
      <c r="Y65" s="179">
        <v>10259165</v>
      </c>
      <c r="Z65" s="473">
        <v>3044858</v>
      </c>
      <c r="AA65" s="473">
        <v>3873702858</v>
      </c>
      <c r="AB65" s="473">
        <v>18812796052</v>
      </c>
      <c r="AC65" s="179">
        <v>0</v>
      </c>
      <c r="AD65" s="179">
        <v>0</v>
      </c>
      <c r="AE65" s="179">
        <v>0</v>
      </c>
      <c r="AF65" s="179">
        <v>0</v>
      </c>
      <c r="AG65" s="179">
        <v>0</v>
      </c>
      <c r="AH65" s="8"/>
      <c r="AL65" s="474"/>
    </row>
    <row r="66" spans="21:38" ht="16.5" customHeight="1">
      <c r="U66" s="414">
        <v>2</v>
      </c>
      <c r="V66" s="472" t="s">
        <v>1476</v>
      </c>
      <c r="W66" s="473">
        <v>87864017</v>
      </c>
      <c r="X66" s="473">
        <v>95216916</v>
      </c>
      <c r="Y66" s="179">
        <v>83577779</v>
      </c>
      <c r="Z66" s="473">
        <v>72820188</v>
      </c>
      <c r="AA66" s="473">
        <v>62480506</v>
      </c>
      <c r="AB66" s="473">
        <v>38581322</v>
      </c>
      <c r="AC66" s="179">
        <v>131191713</v>
      </c>
      <c r="AD66" s="179">
        <v>128365337</v>
      </c>
      <c r="AE66" s="179">
        <v>106054126</v>
      </c>
      <c r="AF66" s="179">
        <v>111502751</v>
      </c>
      <c r="AG66" s="179">
        <v>123120746</v>
      </c>
      <c r="AL66" s="474"/>
    </row>
    <row r="67" spans="21:38" ht="16.5" customHeight="1">
      <c r="U67" s="414">
        <v>4</v>
      </c>
      <c r="V67" s="472" t="s">
        <v>262</v>
      </c>
      <c r="W67" s="473">
        <v>20866787</v>
      </c>
      <c r="X67" s="473">
        <v>83467151</v>
      </c>
      <c r="Y67" s="179">
        <v>1033496411</v>
      </c>
      <c r="Z67" s="473">
        <v>1983525673</v>
      </c>
      <c r="AA67" s="473">
        <v>1983525674</v>
      </c>
      <c r="AB67" s="473">
        <v>1741871426</v>
      </c>
      <c r="AC67" s="179">
        <v>539780335</v>
      </c>
      <c r="AD67" s="179">
        <v>539780329</v>
      </c>
      <c r="AE67" s="179">
        <v>539780331</v>
      </c>
      <c r="AF67" s="179">
        <v>539780329</v>
      </c>
      <c r="AG67" s="179">
        <v>539780330</v>
      </c>
      <c r="AL67" s="474"/>
    </row>
    <row r="68" spans="21:38" ht="16.5" customHeight="1">
      <c r="U68" s="414">
        <v>21</v>
      </c>
      <c r="V68" s="472" t="s">
        <v>74</v>
      </c>
      <c r="W68" s="473">
        <v>0</v>
      </c>
      <c r="X68" s="473">
        <v>0</v>
      </c>
      <c r="Y68" s="179">
        <v>0</v>
      </c>
      <c r="Z68" s="473">
        <v>0</v>
      </c>
      <c r="AA68" s="473">
        <v>0</v>
      </c>
      <c r="AB68" s="473">
        <v>0</v>
      </c>
      <c r="AC68" s="179">
        <v>0</v>
      </c>
      <c r="AD68" s="179">
        <v>0</v>
      </c>
      <c r="AE68" s="179">
        <v>0</v>
      </c>
      <c r="AF68" s="179">
        <v>0</v>
      </c>
      <c r="AG68" s="179">
        <v>0</v>
      </c>
      <c r="AH68" s="8"/>
      <c r="AL68" s="474"/>
    </row>
    <row r="69" spans="21:38" ht="16.5" customHeight="1">
      <c r="U69" s="414">
        <v>21</v>
      </c>
      <c r="V69" s="472" t="s">
        <v>1457</v>
      </c>
      <c r="W69" s="473">
        <v>15487671</v>
      </c>
      <c r="X69" s="473">
        <v>-7407388</v>
      </c>
      <c r="Y69" s="179">
        <v>-62149907</v>
      </c>
      <c r="Z69" s="473">
        <v>25025428</v>
      </c>
      <c r="AA69" s="473">
        <v>-383376771</v>
      </c>
      <c r="AB69" s="473">
        <v>-28843919</v>
      </c>
      <c r="AC69" s="179">
        <v>-41514721</v>
      </c>
      <c r="AD69" s="179">
        <v>53879893</v>
      </c>
      <c r="AE69" s="179">
        <v>136349723</v>
      </c>
      <c r="AF69" s="179">
        <v>373917578</v>
      </c>
      <c r="AG69" s="179">
        <v>307702027</v>
      </c>
      <c r="AL69" s="474"/>
    </row>
    <row r="70" spans="21:38" ht="16.5" customHeight="1">
      <c r="U70" s="414">
        <v>21</v>
      </c>
      <c r="V70" s="472" t="s">
        <v>77</v>
      </c>
      <c r="W70" s="473">
        <v>18183517</v>
      </c>
      <c r="X70" s="473">
        <v>13444029</v>
      </c>
      <c r="Y70" s="179">
        <v>5750754</v>
      </c>
      <c r="Z70" s="473">
        <v>36644839</v>
      </c>
      <c r="AA70" s="473">
        <v>-8136001</v>
      </c>
      <c r="AB70" s="473">
        <v>53586104</v>
      </c>
      <c r="AC70" s="179">
        <v>15366000</v>
      </c>
      <c r="AD70" s="179">
        <v>41784000</v>
      </c>
      <c r="AE70" s="179">
        <v>90276000</v>
      </c>
      <c r="AF70" s="179">
        <v>56580000</v>
      </c>
      <c r="AG70" s="179">
        <v>46122000</v>
      </c>
      <c r="AL70" s="474"/>
    </row>
    <row r="71" spans="21:38" ht="16.5" customHeight="1">
      <c r="U71" s="414">
        <v>21</v>
      </c>
      <c r="V71" s="472" t="s">
        <v>1692</v>
      </c>
      <c r="W71" s="473">
        <v>0</v>
      </c>
      <c r="X71" s="473">
        <v>0</v>
      </c>
      <c r="Y71" s="179">
        <v>0</v>
      </c>
      <c r="Z71" s="473">
        <v>0</v>
      </c>
      <c r="AA71" s="473">
        <v>0</v>
      </c>
      <c r="AB71" s="473">
        <v>0</v>
      </c>
      <c r="AC71" s="179">
        <v>0</v>
      </c>
      <c r="AD71" s="179">
        <v>65178000</v>
      </c>
      <c r="AE71" s="179">
        <v>30696312</v>
      </c>
      <c r="AF71" s="179">
        <v>4883760</v>
      </c>
      <c r="AG71" s="179">
        <v>8930528</v>
      </c>
      <c r="AL71" s="474"/>
    </row>
    <row r="72" spans="21:38" ht="16.5" customHeight="1">
      <c r="U72" s="414">
        <v>21</v>
      </c>
      <c r="V72" s="472" t="s">
        <v>1658</v>
      </c>
      <c r="W72" s="473">
        <v>93133969</v>
      </c>
      <c r="X72" s="473">
        <v>119915381</v>
      </c>
      <c r="Y72" s="179">
        <v>110504480</v>
      </c>
      <c r="Z72" s="473">
        <v>63354438</v>
      </c>
      <c r="AA72" s="473">
        <v>63483661</v>
      </c>
      <c r="AB72" s="473">
        <v>-66902751</v>
      </c>
      <c r="AC72" s="179">
        <v>105877508</v>
      </c>
      <c r="AD72" s="179">
        <v>71069799</v>
      </c>
      <c r="AE72" s="179">
        <v>85830261</v>
      </c>
      <c r="AF72" s="179">
        <v>95841992</v>
      </c>
      <c r="AG72" s="179">
        <v>62381827</v>
      </c>
      <c r="AL72" s="474"/>
    </row>
    <row r="73" spans="21:38" ht="16.5" customHeight="1">
      <c r="U73" s="414">
        <v>21</v>
      </c>
      <c r="V73" s="472" t="s">
        <v>1659</v>
      </c>
      <c r="W73" s="473"/>
      <c r="X73" s="473"/>
      <c r="Y73" s="179">
        <v>-171842</v>
      </c>
      <c r="Z73" s="473">
        <v>-5623039</v>
      </c>
      <c r="AA73" s="473">
        <v>-5877807</v>
      </c>
      <c r="AB73" s="473">
        <v>404030</v>
      </c>
      <c r="AC73" s="179">
        <v>2548929</v>
      </c>
      <c r="AD73" s="179">
        <v>43038717</v>
      </c>
      <c r="AE73" s="179">
        <v>0</v>
      </c>
      <c r="AF73" s="179">
        <v>0</v>
      </c>
      <c r="AG73" s="179">
        <v>0</v>
      </c>
      <c r="AL73" s="474"/>
    </row>
    <row r="74" spans="21:38" ht="16.5" customHeight="1">
      <c r="U74" s="414">
        <v>21</v>
      </c>
      <c r="V74" s="472" t="s">
        <v>1660</v>
      </c>
      <c r="W74" s="473"/>
      <c r="X74" s="473"/>
      <c r="Y74" s="179"/>
      <c r="Z74" s="473"/>
      <c r="AA74" s="473"/>
      <c r="AB74" s="473"/>
      <c r="AC74" s="179"/>
      <c r="AD74" s="179">
        <v>40806000</v>
      </c>
      <c r="AE74" s="179">
        <v>58866750</v>
      </c>
      <c r="AF74" s="179">
        <v>88178000</v>
      </c>
      <c r="AG74" s="179">
        <v>37159250</v>
      </c>
      <c r="AL74" s="474"/>
    </row>
    <row r="75" spans="21:38" ht="16.5" customHeight="1">
      <c r="U75" s="414">
        <v>10</v>
      </c>
      <c r="V75" s="472" t="s">
        <v>1479</v>
      </c>
      <c r="W75" s="473">
        <v>-72293878</v>
      </c>
      <c r="X75" s="473">
        <v>-46643015</v>
      </c>
      <c r="Y75" s="179">
        <v>-23650716</v>
      </c>
      <c r="Z75" s="473">
        <v>-319221044</v>
      </c>
      <c r="AA75" s="473">
        <v>-17878377</v>
      </c>
      <c r="AB75" s="473">
        <v>-75269059</v>
      </c>
      <c r="AC75" s="179">
        <v>-26988721</v>
      </c>
      <c r="AD75" s="179">
        <v>-48289998</v>
      </c>
      <c r="AE75" s="179">
        <v>-47067897</v>
      </c>
      <c r="AF75" s="179">
        <v>-45489993</v>
      </c>
      <c r="AG75" s="179">
        <v>-123601956</v>
      </c>
      <c r="AL75" s="474"/>
    </row>
    <row r="76" spans="21:38" ht="16.5" customHeight="1">
      <c r="U76" s="414">
        <v>11</v>
      </c>
      <c r="V76" s="472" t="s">
        <v>1480</v>
      </c>
      <c r="W76" s="473">
        <v>508826</v>
      </c>
      <c r="X76" s="473">
        <v>1247915</v>
      </c>
      <c r="Y76" s="179">
        <v>10768327</v>
      </c>
      <c r="Z76" s="473">
        <v>11322451</v>
      </c>
      <c r="AA76" s="473">
        <v>13921274</v>
      </c>
      <c r="AB76" s="473">
        <v>13918941</v>
      </c>
      <c r="AC76" s="179">
        <v>12788770</v>
      </c>
      <c r="AD76" s="179">
        <v>11521774</v>
      </c>
      <c r="AE76" s="179">
        <v>10169165</v>
      </c>
      <c r="AF76" s="179">
        <v>9984260</v>
      </c>
      <c r="AG76" s="179">
        <v>13077228</v>
      </c>
      <c r="AL76" s="474"/>
    </row>
    <row r="77" spans="21:38" ht="16.5" customHeight="1">
      <c r="U77" s="414">
        <v>21</v>
      </c>
      <c r="V77" s="472" t="s">
        <v>47</v>
      </c>
      <c r="W77" s="473">
        <v>0</v>
      </c>
      <c r="X77" s="473">
        <v>-140878260</v>
      </c>
      <c r="Y77" s="179">
        <v>-77308476</v>
      </c>
      <c r="Z77" s="473">
        <v>0</v>
      </c>
      <c r="AA77" s="473">
        <v>0</v>
      </c>
      <c r="AB77" s="473">
        <v>0</v>
      </c>
      <c r="AC77" s="179">
        <v>0</v>
      </c>
      <c r="AD77" s="179">
        <v>-3923334</v>
      </c>
      <c r="AE77" s="179">
        <v>0</v>
      </c>
      <c r="AF77" s="179">
        <v>-163453993</v>
      </c>
      <c r="AG77" s="179">
        <v>-11400</v>
      </c>
      <c r="AL77" s="474"/>
    </row>
    <row r="78" spans="21:38" ht="16.5" customHeight="1">
      <c r="U78" s="414">
        <v>21</v>
      </c>
      <c r="V78" s="472" t="s">
        <v>414</v>
      </c>
      <c r="W78" s="473">
        <v>0</v>
      </c>
      <c r="X78" s="473">
        <v>0</v>
      </c>
      <c r="Y78" s="179">
        <v>0</v>
      </c>
      <c r="Z78" s="473">
        <v>-319929641</v>
      </c>
      <c r="AA78" s="473">
        <v>0</v>
      </c>
      <c r="AB78" s="473">
        <v>-987599</v>
      </c>
      <c r="AC78" s="179">
        <v>-1627958698</v>
      </c>
      <c r="AD78" s="179">
        <v>0</v>
      </c>
      <c r="AE78" s="179">
        <v>0</v>
      </c>
      <c r="AF78" s="179">
        <v>0</v>
      </c>
      <c r="AG78" s="179">
        <v>0</v>
      </c>
      <c r="AH78" s="8"/>
      <c r="AL78" s="474"/>
    </row>
    <row r="79" spans="21:38" ht="16.5" customHeight="1">
      <c r="U79" s="414">
        <v>21</v>
      </c>
      <c r="V79" s="472" t="s">
        <v>1473</v>
      </c>
      <c r="W79" s="473">
        <v>-15419304</v>
      </c>
      <c r="X79" s="473">
        <v>-13674343</v>
      </c>
      <c r="Y79" s="179">
        <v>-32254857</v>
      </c>
      <c r="Z79" s="473">
        <v>-151340829</v>
      </c>
      <c r="AA79" s="473">
        <v>-38740950</v>
      </c>
      <c r="AB79" s="473">
        <v>-56281149</v>
      </c>
      <c r="AC79" s="179">
        <v>-20683021</v>
      </c>
      <c r="AD79" s="179">
        <v>-68600564</v>
      </c>
      <c r="AE79" s="179">
        <v>-72838608</v>
      </c>
      <c r="AF79" s="179">
        <v>-151502711</v>
      </c>
      <c r="AG79" s="179">
        <v>-56751351</v>
      </c>
      <c r="AH79" s="8"/>
      <c r="AL79" s="474"/>
    </row>
    <row r="80" spans="21:38" ht="16.5" customHeight="1">
      <c r="U80" s="414">
        <v>21</v>
      </c>
      <c r="V80" s="472" t="s">
        <v>1474</v>
      </c>
      <c r="W80" s="473">
        <v>211458833</v>
      </c>
      <c r="X80" s="473">
        <v>633078436</v>
      </c>
      <c r="Y80" s="179">
        <v>90331013</v>
      </c>
      <c r="Z80" s="473">
        <v>157859569</v>
      </c>
      <c r="AA80" s="473">
        <v>110042570</v>
      </c>
      <c r="AB80" s="473">
        <v>74796600</v>
      </c>
      <c r="AC80" s="179">
        <v>40285570</v>
      </c>
      <c r="AD80" s="179">
        <v>22136298</v>
      </c>
      <c r="AE80" s="179">
        <v>58989429</v>
      </c>
      <c r="AF80" s="179">
        <v>154790993</v>
      </c>
      <c r="AG80" s="179">
        <v>218172754</v>
      </c>
      <c r="AH80" s="8"/>
      <c r="AL80" s="474"/>
    </row>
    <row r="81" spans="21:38" ht="16.5" customHeight="1">
      <c r="U81" s="414">
        <v>21</v>
      </c>
      <c r="V81" s="472" t="s">
        <v>415</v>
      </c>
      <c r="W81" s="473">
        <v>0</v>
      </c>
      <c r="X81" s="473">
        <v>0</v>
      </c>
      <c r="Y81" s="179">
        <v>0</v>
      </c>
      <c r="Z81" s="473">
        <v>0</v>
      </c>
      <c r="AA81" s="473">
        <v>0</v>
      </c>
      <c r="AB81" s="473">
        <v>2935629369</v>
      </c>
      <c r="AC81" s="179">
        <v>0</v>
      </c>
      <c r="AD81" s="179">
        <v>0</v>
      </c>
      <c r="AE81" s="179">
        <v>0</v>
      </c>
      <c r="AF81" s="179">
        <v>0</v>
      </c>
      <c r="AG81" s="179">
        <v>0</v>
      </c>
      <c r="AH81" s="8"/>
      <c r="AL81" s="474"/>
    </row>
    <row r="82" spans="21:38" ht="16.5" customHeight="1">
      <c r="U82" s="414">
        <v>21</v>
      </c>
      <c r="V82" s="472" t="s">
        <v>46</v>
      </c>
      <c r="W82" s="473">
        <v>119167</v>
      </c>
      <c r="X82" s="473">
        <v>7182660</v>
      </c>
      <c r="Y82" s="179">
        <v>590926</v>
      </c>
      <c r="Z82" s="473">
        <v>48750</v>
      </c>
      <c r="AA82" s="473">
        <v>16960244</v>
      </c>
      <c r="AB82" s="473">
        <v>0</v>
      </c>
      <c r="AC82" s="179">
        <v>982501</v>
      </c>
      <c r="AD82" s="179">
        <v>97500</v>
      </c>
      <c r="AE82" s="179">
        <v>9292141</v>
      </c>
      <c r="AF82" s="179">
        <v>382334</v>
      </c>
      <c r="AG82" s="179">
        <v>16683000</v>
      </c>
      <c r="AL82" s="474"/>
    </row>
    <row r="83" spans="21:38" ht="16.5" customHeight="1">
      <c r="U83" s="414">
        <v>21</v>
      </c>
      <c r="V83" s="472" t="s">
        <v>184</v>
      </c>
      <c r="W83" s="473">
        <v>0</v>
      </c>
      <c r="X83" s="473">
        <v>0</v>
      </c>
      <c r="Y83" s="179">
        <v>0</v>
      </c>
      <c r="Z83" s="473">
        <v>0</v>
      </c>
      <c r="AA83" s="473">
        <v>0</v>
      </c>
      <c r="AB83" s="473">
        <v>0</v>
      </c>
      <c r="AC83" s="179">
        <v>0</v>
      </c>
      <c r="AD83" s="179">
        <v>0</v>
      </c>
      <c r="AE83" s="179">
        <v>0</v>
      </c>
      <c r="AF83" s="179">
        <v>0</v>
      </c>
      <c r="AG83" s="179">
        <v>0</v>
      </c>
      <c r="AL83" s="474"/>
    </row>
    <row r="84" spans="21:38" ht="16.5" customHeight="1">
      <c r="U84" s="414">
        <v>21</v>
      </c>
      <c r="V84" s="472" t="s">
        <v>140</v>
      </c>
      <c r="W84" s="473">
        <v>0</v>
      </c>
      <c r="X84" s="473">
        <v>0</v>
      </c>
      <c r="Y84" s="179">
        <v>0</v>
      </c>
      <c r="Z84" s="473">
        <v>0</v>
      </c>
      <c r="AA84" s="473">
        <v>0</v>
      </c>
      <c r="AB84" s="473">
        <v>0</v>
      </c>
      <c r="AC84" s="179">
        <v>0</v>
      </c>
      <c r="AD84" s="179">
        <v>0</v>
      </c>
      <c r="AE84" s="179">
        <v>0</v>
      </c>
      <c r="AF84" s="179">
        <v>0</v>
      </c>
      <c r="AG84" s="179">
        <v>0</v>
      </c>
      <c r="AH84" s="8"/>
      <c r="AL84" s="474"/>
    </row>
    <row r="85" spans="21:38" ht="16.5" customHeight="1">
      <c r="U85" s="414">
        <v>21</v>
      </c>
      <c r="V85" s="472" t="s">
        <v>183</v>
      </c>
      <c r="W85" s="473">
        <v>0</v>
      </c>
      <c r="X85" s="473">
        <v>0</v>
      </c>
      <c r="Y85" s="179">
        <v>0</v>
      </c>
      <c r="Z85" s="473">
        <v>0</v>
      </c>
      <c r="AA85" s="473">
        <v>0</v>
      </c>
      <c r="AB85" s="473">
        <v>-223137</v>
      </c>
      <c r="AC85" s="179">
        <v>0</v>
      </c>
      <c r="AD85" s="179">
        <v>0</v>
      </c>
      <c r="AE85" s="179">
        <v>0</v>
      </c>
      <c r="AF85" s="179">
        <v>0</v>
      </c>
      <c r="AG85" s="179">
        <v>0</v>
      </c>
      <c r="AL85" s="474"/>
    </row>
    <row r="86" spans="21:38" ht="16.5" customHeight="1">
      <c r="U86" s="414">
        <v>21</v>
      </c>
      <c r="V86" s="472" t="s">
        <v>141</v>
      </c>
      <c r="W86" s="473">
        <v>0</v>
      </c>
      <c r="X86" s="473">
        <v>0</v>
      </c>
      <c r="Y86" s="179">
        <v>0</v>
      </c>
      <c r="Z86" s="473">
        <v>0</v>
      </c>
      <c r="AA86" s="473">
        <v>0</v>
      </c>
      <c r="AB86" s="473">
        <v>0</v>
      </c>
      <c r="AC86" s="179">
        <v>0</v>
      </c>
      <c r="AD86" s="179">
        <v>0</v>
      </c>
      <c r="AE86" s="179">
        <v>0</v>
      </c>
      <c r="AF86" s="179">
        <v>0</v>
      </c>
      <c r="AG86" s="179">
        <v>4880913</v>
      </c>
      <c r="AL86" s="474"/>
    </row>
    <row r="87" spans="21:38" ht="16.5" customHeight="1">
      <c r="U87" s="475">
        <v>21</v>
      </c>
      <c r="V87" s="472" t="s">
        <v>1475</v>
      </c>
      <c r="W87" s="473">
        <v>0</v>
      </c>
      <c r="X87" s="473">
        <v>0</v>
      </c>
      <c r="Y87" s="179">
        <v>0</v>
      </c>
      <c r="Z87" s="473">
        <v>0</v>
      </c>
      <c r="AA87" s="473">
        <v>0</v>
      </c>
      <c r="AB87" s="473">
        <v>0</v>
      </c>
      <c r="AC87" s="179">
        <v>0</v>
      </c>
      <c r="AD87" s="179">
        <v>0</v>
      </c>
      <c r="AE87" s="179">
        <v>0</v>
      </c>
      <c r="AF87" s="179">
        <v>0</v>
      </c>
      <c r="AG87" s="179">
        <v>0</v>
      </c>
      <c r="AL87" s="474"/>
    </row>
    <row r="88" spans="21:38" ht="16.5" customHeight="1">
      <c r="U88" s="475">
        <v>21</v>
      </c>
      <c r="V88" s="472" t="s">
        <v>357</v>
      </c>
      <c r="W88" s="473">
        <v>641802517</v>
      </c>
      <c r="X88" s="473">
        <v>0</v>
      </c>
      <c r="Y88" s="179">
        <v>0</v>
      </c>
      <c r="Z88" s="473">
        <v>0</v>
      </c>
      <c r="AA88" s="473">
        <v>0</v>
      </c>
      <c r="AB88" s="473">
        <v>0</v>
      </c>
      <c r="AC88" s="179">
        <v>0</v>
      </c>
      <c r="AD88" s="179">
        <v>0</v>
      </c>
      <c r="AE88" s="179">
        <v>0</v>
      </c>
      <c r="AF88" s="179">
        <v>0</v>
      </c>
      <c r="AG88" s="179">
        <v>0</v>
      </c>
      <c r="AL88" s="474"/>
    </row>
    <row r="89" spans="21:38" ht="16.5" customHeight="1">
      <c r="U89" s="414">
        <v>21</v>
      </c>
      <c r="V89" s="472" t="s">
        <v>76</v>
      </c>
      <c r="W89" s="473"/>
      <c r="X89" s="473">
        <v>0</v>
      </c>
      <c r="Y89" s="179">
        <v>0</v>
      </c>
      <c r="Z89" s="473">
        <v>0</v>
      </c>
      <c r="AA89" s="473">
        <v>0</v>
      </c>
      <c r="AB89" s="473">
        <v>0</v>
      </c>
      <c r="AC89" s="179">
        <v>0</v>
      </c>
      <c r="AD89" s="179">
        <v>0</v>
      </c>
      <c r="AE89" s="179">
        <v>0</v>
      </c>
      <c r="AF89" s="179">
        <v>0</v>
      </c>
      <c r="AG89" s="179">
        <v>0</v>
      </c>
      <c r="AL89" s="474"/>
    </row>
    <row r="90" spans="21:38" ht="16.5" customHeight="1">
      <c r="U90" s="414">
        <v>21</v>
      </c>
      <c r="V90" s="472" t="s">
        <v>263</v>
      </c>
      <c r="W90" s="473">
        <v>0</v>
      </c>
      <c r="X90" s="473">
        <v>0</v>
      </c>
      <c r="Y90" s="179">
        <v>0</v>
      </c>
      <c r="Z90" s="473">
        <v>0</v>
      </c>
      <c r="AA90" s="473">
        <v>0</v>
      </c>
      <c r="AB90" s="473">
        <v>0</v>
      </c>
      <c r="AC90" s="179">
        <v>0</v>
      </c>
      <c r="AD90" s="179">
        <v>0</v>
      </c>
      <c r="AE90" s="179">
        <v>0</v>
      </c>
      <c r="AF90" s="179">
        <v>0</v>
      </c>
      <c r="AG90" s="179">
        <v>0</v>
      </c>
      <c r="AL90" s="474"/>
    </row>
    <row r="91" spans="21:38" ht="16.5" customHeight="1">
      <c r="U91" s="414">
        <v>21</v>
      </c>
      <c r="V91" s="472" t="s">
        <v>1477</v>
      </c>
      <c r="W91" s="473">
        <v>0</v>
      </c>
      <c r="X91" s="473">
        <v>0</v>
      </c>
      <c r="Y91" s="179">
        <v>0</v>
      </c>
      <c r="Z91" s="473">
        <v>0</v>
      </c>
      <c r="AA91" s="473">
        <v>0</v>
      </c>
      <c r="AB91" s="473">
        <v>0</v>
      </c>
      <c r="AC91" s="179">
        <v>0</v>
      </c>
      <c r="AD91" s="179">
        <v>0</v>
      </c>
      <c r="AE91" s="179">
        <v>0</v>
      </c>
      <c r="AF91" s="179">
        <v>0</v>
      </c>
      <c r="AG91" s="179">
        <v>0</v>
      </c>
      <c r="AL91" s="474"/>
    </row>
    <row r="92" spans="21:38" ht="16.5" customHeight="1">
      <c r="U92" s="414">
        <v>21</v>
      </c>
      <c r="V92" s="472" t="s">
        <v>1478</v>
      </c>
      <c r="W92" s="473">
        <v>0</v>
      </c>
      <c r="X92" s="473">
        <v>0</v>
      </c>
      <c r="Y92" s="179">
        <v>0</v>
      </c>
      <c r="Z92" s="473">
        <v>0</v>
      </c>
      <c r="AA92" s="473">
        <v>0</v>
      </c>
      <c r="AB92" s="473">
        <v>0</v>
      </c>
      <c r="AC92" s="179">
        <v>0</v>
      </c>
      <c r="AD92" s="179">
        <v>0</v>
      </c>
      <c r="AE92" s="179">
        <v>0</v>
      </c>
      <c r="AF92" s="179">
        <v>0</v>
      </c>
      <c r="AG92" s="179">
        <v>0</v>
      </c>
      <c r="AL92" s="474"/>
    </row>
    <row r="93" spans="21:38" ht="16.5" customHeight="1">
      <c r="U93" s="414">
        <v>21</v>
      </c>
      <c r="V93" s="2153" t="s">
        <v>1697</v>
      </c>
      <c r="W93" s="2154"/>
      <c r="X93" s="2154"/>
      <c r="Y93" s="2155"/>
      <c r="Z93" s="2154"/>
      <c r="AA93" s="2154"/>
      <c r="AB93" s="2154"/>
      <c r="AC93" s="2155"/>
      <c r="AD93" s="2155"/>
      <c r="AE93" s="2155"/>
      <c r="AF93" s="2155"/>
      <c r="AG93" s="2155">
        <v>0</v>
      </c>
      <c r="AL93" s="474"/>
    </row>
    <row r="94" spans="21:38" ht="16.5" customHeight="1">
      <c r="U94" s="476">
        <v>21</v>
      </c>
      <c r="V94" s="472" t="s">
        <v>433</v>
      </c>
      <c r="W94" s="473">
        <v>0</v>
      </c>
      <c r="X94" s="473">
        <v>0</v>
      </c>
      <c r="Y94" s="179">
        <v>0</v>
      </c>
      <c r="Z94" s="473">
        <v>-664363</v>
      </c>
      <c r="AA94" s="473">
        <v>0</v>
      </c>
      <c r="AB94" s="473">
        <v>-11615196</v>
      </c>
      <c r="AC94" s="179">
        <v>0</v>
      </c>
      <c r="AD94" s="179">
        <v>0</v>
      </c>
      <c r="AE94" s="179">
        <v>0</v>
      </c>
      <c r="AF94" s="179">
        <v>0</v>
      </c>
      <c r="AG94" s="179">
        <v>0</v>
      </c>
      <c r="AL94" s="474"/>
    </row>
    <row r="95" spans="21:38" ht="16.5" customHeight="1">
      <c r="U95" s="476">
        <v>21</v>
      </c>
      <c r="V95" s="472" t="s">
        <v>101</v>
      </c>
      <c r="W95" s="473">
        <v>0</v>
      </c>
      <c r="X95" s="473">
        <v>1</v>
      </c>
      <c r="Y95" s="179">
        <v>0</v>
      </c>
      <c r="Z95" s="473">
        <v>0</v>
      </c>
      <c r="AA95" s="473">
        <v>0</v>
      </c>
      <c r="AB95" s="473">
        <v>0</v>
      </c>
      <c r="AC95" s="179">
        <v>80830533</v>
      </c>
      <c r="AD95" s="179">
        <v>0</v>
      </c>
      <c r="AE95" s="179">
        <v>1001261069</v>
      </c>
      <c r="AF95" s="179">
        <v>0</v>
      </c>
      <c r="AG95" s="179">
        <v>8800</v>
      </c>
      <c r="AL95" s="474"/>
    </row>
    <row r="96" spans="21:38" ht="16.5" customHeight="1">
      <c r="U96" s="476">
        <v>21</v>
      </c>
      <c r="V96" s="472" t="s">
        <v>102</v>
      </c>
      <c r="W96" s="473">
        <v>0</v>
      </c>
      <c r="X96" s="473">
        <v>0</v>
      </c>
      <c r="Y96" s="179">
        <v>0</v>
      </c>
      <c r="Z96" s="473">
        <v>0</v>
      </c>
      <c r="AA96" s="473">
        <v>11999999</v>
      </c>
      <c r="AB96" s="473">
        <v>0</v>
      </c>
      <c r="AC96" s="179">
        <v>0</v>
      </c>
      <c r="AD96" s="179">
        <v>0</v>
      </c>
      <c r="AE96" s="179">
        <v>0</v>
      </c>
      <c r="AF96" s="179">
        <v>99739629</v>
      </c>
      <c r="AG96" s="179">
        <v>0</v>
      </c>
      <c r="AL96" s="474"/>
    </row>
    <row r="97" spans="21:38" ht="16.5" customHeight="1">
      <c r="U97" s="476">
        <v>21</v>
      </c>
      <c r="V97" s="472" t="s">
        <v>416</v>
      </c>
      <c r="W97" s="473">
        <v>0</v>
      </c>
      <c r="X97" s="473">
        <v>0</v>
      </c>
      <c r="Y97" s="179">
        <v>0</v>
      </c>
      <c r="Z97" s="473">
        <v>0</v>
      </c>
      <c r="AA97" s="473">
        <v>0</v>
      </c>
      <c r="AB97" s="473">
        <v>0</v>
      </c>
      <c r="AC97" s="179">
        <v>0</v>
      </c>
      <c r="AD97" s="179">
        <v>0</v>
      </c>
      <c r="AE97" s="179">
        <v>0</v>
      </c>
      <c r="AF97" s="179">
        <v>0</v>
      </c>
      <c r="AG97" s="179">
        <v>0</v>
      </c>
      <c r="AL97" s="474"/>
    </row>
    <row r="98" spans="21:38" ht="16.5" customHeight="1">
      <c r="U98" s="172">
        <v>21</v>
      </c>
      <c r="V98" s="472" t="s">
        <v>103</v>
      </c>
      <c r="W98" s="473">
        <v>0</v>
      </c>
      <c r="X98" s="473">
        <v>0</v>
      </c>
      <c r="Y98" s="179">
        <v>0</v>
      </c>
      <c r="Z98" s="473">
        <v>0</v>
      </c>
      <c r="AA98" s="473">
        <v>0</v>
      </c>
      <c r="AB98" s="473">
        <v>0</v>
      </c>
      <c r="AC98" s="179">
        <v>0</v>
      </c>
      <c r="AD98" s="179">
        <v>0</v>
      </c>
      <c r="AE98" s="179">
        <v>0</v>
      </c>
      <c r="AF98" s="179">
        <v>0</v>
      </c>
      <c r="AG98" s="179">
        <v>0</v>
      </c>
      <c r="AL98" s="474"/>
    </row>
    <row r="99" spans="21:38" ht="16.5" customHeight="1">
      <c r="U99" s="172">
        <v>21</v>
      </c>
      <c r="V99" s="472" t="s">
        <v>104</v>
      </c>
      <c r="W99" s="473">
        <v>0</v>
      </c>
      <c r="X99" s="473">
        <v>0</v>
      </c>
      <c r="Y99" s="179">
        <v>0</v>
      </c>
      <c r="Z99" s="473">
        <v>0</v>
      </c>
      <c r="AA99" s="473">
        <v>0</v>
      </c>
      <c r="AB99" s="473">
        <v>0</v>
      </c>
      <c r="AC99" s="179">
        <v>0</v>
      </c>
      <c r="AD99" s="179">
        <v>0</v>
      </c>
      <c r="AE99" s="179">
        <v>0</v>
      </c>
      <c r="AF99" s="179">
        <v>0</v>
      </c>
      <c r="AG99" s="179">
        <v>0</v>
      </c>
      <c r="AL99" s="474"/>
    </row>
    <row r="100" spans="21:38" ht="16.5" customHeight="1">
      <c r="U100" s="477">
        <v>21</v>
      </c>
      <c r="V100" s="478" t="s">
        <v>105</v>
      </c>
      <c r="W100" s="479">
        <v>0</v>
      </c>
      <c r="X100" s="479">
        <v>0</v>
      </c>
      <c r="Y100" s="480">
        <v>0</v>
      </c>
      <c r="Z100" s="479">
        <v>0</v>
      </c>
      <c r="AA100" s="479">
        <v>0</v>
      </c>
      <c r="AB100" s="479">
        <v>0</v>
      </c>
      <c r="AC100" s="480">
        <v>0</v>
      </c>
      <c r="AD100" s="480">
        <v>0</v>
      </c>
      <c r="AE100" s="480">
        <v>0</v>
      </c>
      <c r="AF100" s="480">
        <v>0</v>
      </c>
      <c r="AG100" s="480">
        <v>0</v>
      </c>
      <c r="AL100" s="474"/>
    </row>
    <row r="101" spans="21:38" ht="16.5" customHeight="1">
      <c r="U101" s="477">
        <v>21</v>
      </c>
      <c r="V101" s="481" t="s">
        <v>106</v>
      </c>
      <c r="W101" s="473">
        <v>0</v>
      </c>
      <c r="X101" s="473">
        <v>0</v>
      </c>
      <c r="Y101" s="179">
        <v>0</v>
      </c>
      <c r="Z101" s="473">
        <v>0</v>
      </c>
      <c r="AA101" s="473">
        <v>0</v>
      </c>
      <c r="AB101" s="473">
        <v>0</v>
      </c>
      <c r="AC101" s="179">
        <v>0</v>
      </c>
      <c r="AD101" s="179">
        <v>0</v>
      </c>
      <c r="AE101" s="179">
        <v>0</v>
      </c>
      <c r="AF101" s="179">
        <v>0</v>
      </c>
      <c r="AG101" s="179">
        <v>0</v>
      </c>
      <c r="AL101" s="474"/>
    </row>
    <row r="102" spans="21:38" ht="16.5" customHeight="1">
      <c r="U102" s="25">
        <v>21</v>
      </c>
      <c r="V102" s="478" t="s">
        <v>108</v>
      </c>
      <c r="W102" s="479">
        <v>0</v>
      </c>
      <c r="X102" s="479">
        <v>0</v>
      </c>
      <c r="Y102" s="482">
        <v>0</v>
      </c>
      <c r="Z102" s="479">
        <v>0</v>
      </c>
      <c r="AA102" s="479">
        <v>0</v>
      </c>
      <c r="AB102" s="479">
        <v>0</v>
      </c>
      <c r="AC102" s="482">
        <v>0</v>
      </c>
      <c r="AD102" s="482">
        <v>0</v>
      </c>
      <c r="AE102" s="482">
        <v>0</v>
      </c>
      <c r="AF102" s="482">
        <v>0</v>
      </c>
      <c r="AG102" s="482">
        <v>0</v>
      </c>
      <c r="AL102" s="474"/>
    </row>
    <row r="103" spans="21:38" ht="16.5" customHeight="1">
      <c r="U103" s="25">
        <v>21</v>
      </c>
      <c r="V103" s="478" t="s">
        <v>356</v>
      </c>
      <c r="W103" s="479">
        <v>-48275212</v>
      </c>
      <c r="X103" s="479">
        <v>0</v>
      </c>
      <c r="Y103" s="482">
        <v>0</v>
      </c>
      <c r="Z103" s="479">
        <v>0</v>
      </c>
      <c r="AA103" s="479">
        <v>0</v>
      </c>
      <c r="AB103" s="479">
        <v>0</v>
      </c>
      <c r="AC103" s="482">
        <v>0</v>
      </c>
      <c r="AD103" s="482">
        <v>0</v>
      </c>
      <c r="AE103" s="482">
        <v>0</v>
      </c>
      <c r="AF103" s="482">
        <v>0</v>
      </c>
      <c r="AG103" s="482">
        <v>0</v>
      </c>
      <c r="AL103" s="474"/>
    </row>
    <row r="104" spans="21:38" ht="16.5" customHeight="1">
      <c r="U104" s="414">
        <v>21</v>
      </c>
      <c r="V104" s="472" t="s">
        <v>45</v>
      </c>
      <c r="W104" s="473">
        <v>0</v>
      </c>
      <c r="X104" s="473">
        <v>0</v>
      </c>
      <c r="Y104" s="179">
        <v>0</v>
      </c>
      <c r="Z104" s="473">
        <v>0</v>
      </c>
      <c r="AA104" s="473">
        <v>0</v>
      </c>
      <c r="AB104" s="473">
        <v>0</v>
      </c>
      <c r="AC104" s="179">
        <v>0</v>
      </c>
      <c r="AD104" s="179">
        <v>27333610</v>
      </c>
      <c r="AE104" s="179">
        <v>1580000</v>
      </c>
      <c r="AF104" s="179">
        <v>0</v>
      </c>
      <c r="AG104" s="179">
        <v>0</v>
      </c>
      <c r="AH104" s="8"/>
      <c r="AL104" s="474"/>
    </row>
    <row r="105" spans="21:38" ht="16.5" customHeight="1">
      <c r="U105" s="414">
        <v>21</v>
      </c>
      <c r="V105" s="472" t="s">
        <v>75</v>
      </c>
      <c r="W105" s="473">
        <v>7907946</v>
      </c>
      <c r="X105" s="473">
        <v>8228612</v>
      </c>
      <c r="Y105" s="179">
        <v>5893071</v>
      </c>
      <c r="Z105" s="473">
        <v>8609260</v>
      </c>
      <c r="AA105" s="473">
        <v>8794785</v>
      </c>
      <c r="AB105" s="473">
        <v>8983122</v>
      </c>
      <c r="AC105" s="179">
        <v>9122330</v>
      </c>
      <c r="AD105" s="179">
        <v>9221116</v>
      </c>
      <c r="AE105" s="179">
        <v>9419725</v>
      </c>
      <c r="AF105" s="179">
        <v>9563495</v>
      </c>
      <c r="AG105" s="179">
        <v>9700827</v>
      </c>
      <c r="AH105" s="8"/>
      <c r="AL105" s="474"/>
    </row>
    <row r="106" spans="21:38" ht="16.5" customHeight="1">
      <c r="U106" s="25">
        <v>16</v>
      </c>
      <c r="V106" s="478" t="s">
        <v>1662</v>
      </c>
      <c r="W106" s="479">
        <v>886354510</v>
      </c>
      <c r="X106" s="479">
        <v>707614634</v>
      </c>
      <c r="Y106" s="482">
        <v>603906582</v>
      </c>
      <c r="Z106" s="479">
        <v>2214279537</v>
      </c>
      <c r="AA106" s="479">
        <v>-2589699865</v>
      </c>
      <c r="AB106" s="479">
        <v>2074068609</v>
      </c>
      <c r="AC106" s="482">
        <v>1449003456</v>
      </c>
      <c r="AD106" s="482">
        <v>2639997785</v>
      </c>
      <c r="AE106" s="482">
        <v>9949962527</v>
      </c>
      <c r="AF106" s="482">
        <v>-2993221280</v>
      </c>
      <c r="AG106" s="482">
        <v>-1678514918</v>
      </c>
      <c r="AL106" s="474"/>
    </row>
    <row r="107" spans="21:38" ht="16.5" customHeight="1">
      <c r="U107" s="25">
        <v>17</v>
      </c>
      <c r="V107" s="478" t="s">
        <v>1661</v>
      </c>
      <c r="W107" s="479">
        <v>14128908</v>
      </c>
      <c r="X107" s="479">
        <v>-3877200</v>
      </c>
      <c r="Y107" s="482">
        <v>-157679</v>
      </c>
      <c r="Z107" s="479">
        <v>-749606</v>
      </c>
      <c r="AA107" s="479">
        <v>2580613</v>
      </c>
      <c r="AB107" s="479">
        <v>-66068869</v>
      </c>
      <c r="AC107" s="482">
        <v>66971311</v>
      </c>
      <c r="AD107" s="482">
        <v>-143182690</v>
      </c>
      <c r="AE107" s="482">
        <v>-271534769</v>
      </c>
      <c r="AF107" s="482">
        <v>412533726</v>
      </c>
      <c r="AG107" s="482">
        <v>3485163</v>
      </c>
      <c r="AH107" s="2050" t="s">
        <v>1524</v>
      </c>
      <c r="AL107" s="474"/>
    </row>
    <row r="108" spans="21:38" ht="16.5" customHeight="1">
      <c r="U108" s="25">
        <v>17</v>
      </c>
      <c r="V108" s="478" t="s">
        <v>1698</v>
      </c>
      <c r="W108" s="479">
        <v>-68811397</v>
      </c>
      <c r="X108" s="479">
        <v>8584962</v>
      </c>
      <c r="Y108" s="179">
        <v>-86909115</v>
      </c>
      <c r="Z108" s="479">
        <v>-433069783</v>
      </c>
      <c r="AA108" s="479">
        <v>256455566</v>
      </c>
      <c r="AB108" s="479">
        <v>745413512</v>
      </c>
      <c r="AC108" s="179">
        <v>-276834876</v>
      </c>
      <c r="AD108" s="179">
        <v>-413852040</v>
      </c>
      <c r="AE108" s="179">
        <v>543316421</v>
      </c>
      <c r="AF108" s="179">
        <v>-121193486</v>
      </c>
      <c r="AG108" s="179">
        <v>-275547061</v>
      </c>
      <c r="AL108" s="474"/>
    </row>
    <row r="109" spans="21:38">
      <c r="U109" s="25">
        <v>17</v>
      </c>
      <c r="V109" s="478" t="s">
        <v>1699</v>
      </c>
      <c r="W109" s="479"/>
      <c r="X109" s="479"/>
      <c r="Y109" s="179"/>
      <c r="Z109" s="479"/>
      <c r="AA109" s="479"/>
      <c r="AB109" s="479"/>
      <c r="AC109" s="179"/>
      <c r="AD109" s="179"/>
      <c r="AE109" s="179"/>
      <c r="AF109" s="179"/>
      <c r="AG109" s="179">
        <v>-1008603200</v>
      </c>
    </row>
    <row r="110" spans="21:38" ht="16.5" customHeight="1">
      <c r="U110" s="476">
        <v>21</v>
      </c>
      <c r="V110" s="472" t="s">
        <v>1522</v>
      </c>
      <c r="W110" s="473">
        <v>0</v>
      </c>
      <c r="X110" s="473">
        <v>0</v>
      </c>
      <c r="Y110" s="179">
        <v>0</v>
      </c>
      <c r="Z110" s="473">
        <v>0</v>
      </c>
      <c r="AA110" s="473">
        <v>0</v>
      </c>
      <c r="AB110" s="473">
        <v>0</v>
      </c>
      <c r="AC110" s="179">
        <v>0</v>
      </c>
      <c r="AD110" s="179">
        <v>0</v>
      </c>
      <c r="AE110" s="179">
        <v>-5286037203</v>
      </c>
      <c r="AF110" s="179">
        <v>-2806878882</v>
      </c>
      <c r="AG110" s="179">
        <v>-1549908531</v>
      </c>
      <c r="AL110" s="474"/>
    </row>
    <row r="111" spans="21:38" ht="16.5" customHeight="1">
      <c r="U111" s="476">
        <v>21</v>
      </c>
      <c r="V111" s="472" t="s">
        <v>1663</v>
      </c>
      <c r="W111" s="473">
        <v>66206397</v>
      </c>
      <c r="X111" s="473">
        <v>-43092874</v>
      </c>
      <c r="Y111" s="179">
        <v>-63136902</v>
      </c>
      <c r="Z111" s="473">
        <v>-208930984</v>
      </c>
      <c r="AA111" s="473">
        <v>-13932738</v>
      </c>
      <c r="AB111" s="473">
        <v>21374279</v>
      </c>
      <c r="AC111" s="179">
        <v>-177989720</v>
      </c>
      <c r="AD111" s="179">
        <v>-636597348</v>
      </c>
      <c r="AE111" s="179">
        <v>191979143</v>
      </c>
      <c r="AF111" s="179">
        <v>-5441154</v>
      </c>
      <c r="AG111" s="179">
        <v>-226185575</v>
      </c>
      <c r="AL111" s="474"/>
    </row>
    <row r="112" spans="21:38" ht="16.5" customHeight="1">
      <c r="U112" s="476">
        <v>21</v>
      </c>
      <c r="V112" s="472" t="s">
        <v>1664</v>
      </c>
      <c r="W112" s="473">
        <v>-63281675</v>
      </c>
      <c r="X112" s="473">
        <v>20220863</v>
      </c>
      <c r="Y112" s="179">
        <v>37787824</v>
      </c>
      <c r="Z112" s="473">
        <v>83697863</v>
      </c>
      <c r="AA112" s="473">
        <v>-144021595</v>
      </c>
      <c r="AB112" s="473">
        <v>330556820</v>
      </c>
      <c r="AC112" s="179">
        <v>-8383594</v>
      </c>
      <c r="AD112" s="179">
        <v>156898771</v>
      </c>
      <c r="AE112" s="179">
        <v>136253054</v>
      </c>
      <c r="AF112" s="179">
        <v>-86900016</v>
      </c>
      <c r="AG112" s="179">
        <v>387839995</v>
      </c>
      <c r="AL112" s="474"/>
    </row>
    <row r="113" spans="21:38" ht="16.5" customHeight="1">
      <c r="U113" s="476">
        <v>21</v>
      </c>
      <c r="V113" s="472" t="s">
        <v>1665</v>
      </c>
      <c r="W113" s="473">
        <v>-1770529600</v>
      </c>
      <c r="X113" s="473">
        <v>542020500</v>
      </c>
      <c r="Y113" s="179">
        <v>239038929</v>
      </c>
      <c r="Z113" s="473">
        <v>-119149500</v>
      </c>
      <c r="AA113" s="473">
        <v>-110310900</v>
      </c>
      <c r="AB113" s="473">
        <v>577199200</v>
      </c>
      <c r="AC113" s="179">
        <v>100395000</v>
      </c>
      <c r="AD113" s="179">
        <v>-636454400</v>
      </c>
      <c r="AE113" s="179">
        <v>930101300</v>
      </c>
      <c r="AF113" s="179">
        <v>-158956300</v>
      </c>
      <c r="AG113" s="179">
        <v>-561684500</v>
      </c>
      <c r="AL113" s="474"/>
    </row>
    <row r="114" spans="21:38" ht="16.5" customHeight="1">
      <c r="U114" s="476">
        <v>21</v>
      </c>
      <c r="V114" s="472" t="s">
        <v>328</v>
      </c>
      <c r="W114" s="473"/>
      <c r="X114" s="473"/>
      <c r="Y114" s="179">
        <v>-615100784</v>
      </c>
      <c r="Z114" s="473">
        <v>-76559543</v>
      </c>
      <c r="AA114" s="473">
        <v>-272806481</v>
      </c>
      <c r="AB114" s="473">
        <v>-346535676</v>
      </c>
      <c r="AC114" s="179">
        <v>277456897</v>
      </c>
      <c r="AD114" s="179">
        <v>654353535</v>
      </c>
      <c r="AE114" s="179">
        <v>-98140557</v>
      </c>
      <c r="AF114" s="179">
        <v>240747361</v>
      </c>
      <c r="AG114" s="179">
        <v>312827490</v>
      </c>
      <c r="AL114" s="474"/>
    </row>
    <row r="115" spans="21:38" ht="16.5" customHeight="1">
      <c r="U115" s="476">
        <v>21</v>
      </c>
      <c r="V115" s="472" t="s">
        <v>1523</v>
      </c>
      <c r="W115" s="473">
        <v>0</v>
      </c>
      <c r="X115" s="473">
        <v>0</v>
      </c>
      <c r="Y115" s="179">
        <v>0</v>
      </c>
      <c r="Z115" s="473">
        <v>0</v>
      </c>
      <c r="AA115" s="473">
        <v>0</v>
      </c>
      <c r="AB115" s="473">
        <v>0</v>
      </c>
      <c r="AC115" s="179">
        <v>0</v>
      </c>
      <c r="AD115" s="179">
        <v>0</v>
      </c>
      <c r="AE115" s="179">
        <v>43690461</v>
      </c>
      <c r="AF115" s="179">
        <v>-9028647</v>
      </c>
      <c r="AG115" s="179">
        <v>68758154</v>
      </c>
      <c r="AL115" s="474"/>
    </row>
    <row r="116" spans="21:38" ht="16.5" customHeight="1">
      <c r="U116" s="476">
        <v>21</v>
      </c>
      <c r="V116" s="2130" t="s">
        <v>1666</v>
      </c>
      <c r="W116" s="2131" t="s">
        <v>1667</v>
      </c>
      <c r="X116" s="2131" t="s">
        <v>1667</v>
      </c>
      <c r="Y116" s="2131" t="s">
        <v>1667</v>
      </c>
      <c r="Z116" s="2131" t="s">
        <v>1667</v>
      </c>
      <c r="AA116" s="2131" t="s">
        <v>1667</v>
      </c>
      <c r="AB116" s="2131" t="s">
        <v>1667</v>
      </c>
      <c r="AC116" s="2131" t="s">
        <v>1667</v>
      </c>
      <c r="AD116" s="2131" t="s">
        <v>1667</v>
      </c>
      <c r="AE116" s="2131" t="s">
        <v>1667</v>
      </c>
      <c r="AF116" s="2131" t="s">
        <v>1667</v>
      </c>
      <c r="AG116" s="2132">
        <v>173512500</v>
      </c>
      <c r="AH116" s="2050" t="s">
        <v>1668</v>
      </c>
      <c r="AL116" s="474"/>
    </row>
    <row r="117" spans="21:38" ht="16.5" customHeight="1">
      <c r="U117" s="476">
        <v>21</v>
      </c>
      <c r="V117" s="472" t="s">
        <v>79</v>
      </c>
      <c r="W117" s="473">
        <v>-47746398</v>
      </c>
      <c r="X117" s="473">
        <v>-233342584</v>
      </c>
      <c r="Y117" s="179">
        <v>235006054</v>
      </c>
      <c r="Z117" s="473">
        <v>-387139447</v>
      </c>
      <c r="AA117" s="473">
        <v>-451823428</v>
      </c>
      <c r="AB117" s="473">
        <v>121977071</v>
      </c>
      <c r="AC117" s="179">
        <v>160327314</v>
      </c>
      <c r="AD117" s="179">
        <v>45228605</v>
      </c>
      <c r="AE117" s="179">
        <v>470231916</v>
      </c>
      <c r="AF117" s="179">
        <v>-73177201</v>
      </c>
      <c r="AG117" s="179">
        <v>98169972</v>
      </c>
      <c r="AL117" s="474"/>
    </row>
    <row r="118" spans="21:38" ht="16.5" customHeight="1">
      <c r="U118" s="476">
        <v>20</v>
      </c>
      <c r="V118" s="472" t="s">
        <v>109</v>
      </c>
      <c r="W118" s="473">
        <v>0</v>
      </c>
      <c r="X118" s="473">
        <v>0</v>
      </c>
      <c r="Y118" s="179">
        <v>0</v>
      </c>
      <c r="Z118" s="473">
        <v>0</v>
      </c>
      <c r="AA118" s="473">
        <v>0</v>
      </c>
      <c r="AB118" s="473">
        <v>0</v>
      </c>
      <c r="AC118" s="179">
        <v>0</v>
      </c>
      <c r="AD118" s="179">
        <v>0</v>
      </c>
      <c r="AE118" s="179">
        <v>0</v>
      </c>
      <c r="AF118" s="179">
        <v>0</v>
      </c>
      <c r="AG118" s="179">
        <v>0</v>
      </c>
      <c r="AL118" s="474"/>
    </row>
    <row r="119" spans="21:38" ht="16.5" customHeight="1">
      <c r="U119" s="476">
        <v>21</v>
      </c>
      <c r="V119" s="472" t="s">
        <v>1693</v>
      </c>
      <c r="W119" s="473">
        <v>0</v>
      </c>
      <c r="X119" s="473">
        <v>0</v>
      </c>
      <c r="Y119" s="179">
        <v>0</v>
      </c>
      <c r="Z119" s="473">
        <v>0</v>
      </c>
      <c r="AA119" s="473">
        <v>0</v>
      </c>
      <c r="AB119" s="473">
        <v>0</v>
      </c>
      <c r="AC119" s="179">
        <v>0</v>
      </c>
      <c r="AD119" s="179">
        <v>0</v>
      </c>
      <c r="AE119" s="179">
        <v>0</v>
      </c>
      <c r="AF119" s="179">
        <v>0</v>
      </c>
      <c r="AG119" s="179">
        <v>0</v>
      </c>
      <c r="AL119" s="474"/>
    </row>
    <row r="120" spans="21:38" ht="16.5" customHeight="1">
      <c r="U120" s="476">
        <v>21</v>
      </c>
      <c r="V120" s="472" t="s">
        <v>158</v>
      </c>
      <c r="W120" s="473">
        <v>179828472</v>
      </c>
      <c r="X120" s="473">
        <v>308499511</v>
      </c>
      <c r="Y120" s="179">
        <v>-415638897</v>
      </c>
      <c r="Z120" s="473">
        <v>-366444648</v>
      </c>
      <c r="AA120" s="473">
        <v>373106246</v>
      </c>
      <c r="AB120" s="473">
        <v>434640648</v>
      </c>
      <c r="AC120" s="179">
        <v>315518138</v>
      </c>
      <c r="AD120" s="179">
        <v>-1049513534</v>
      </c>
      <c r="AE120" s="179">
        <v>-421585292</v>
      </c>
      <c r="AF120" s="179">
        <v>-612001152</v>
      </c>
      <c r="AG120" s="179">
        <v>-421761733</v>
      </c>
      <c r="AL120" s="474"/>
    </row>
    <row r="121" spans="21:38" ht="16.5" customHeight="1">
      <c r="U121" s="476">
        <v>22</v>
      </c>
      <c r="V121" s="472" t="s">
        <v>110</v>
      </c>
      <c r="W121" s="473">
        <v>37901722481</v>
      </c>
      <c r="X121" s="473">
        <v>39167413457</v>
      </c>
      <c r="Y121" s="179">
        <v>42730861239</v>
      </c>
      <c r="Z121" s="473">
        <v>45900989476</v>
      </c>
      <c r="AA121" s="473">
        <v>40513633764</v>
      </c>
      <c r="AB121" s="473">
        <v>47888067174</v>
      </c>
      <c r="AC121" s="179">
        <v>49962319433</v>
      </c>
      <c r="AD121" s="179">
        <v>50678242783</v>
      </c>
      <c r="AE121" s="179">
        <v>61465945939</v>
      </c>
      <c r="AF121" s="179">
        <v>54563526315</v>
      </c>
      <c r="AG121" s="179">
        <v>62178809525</v>
      </c>
      <c r="AL121" s="474"/>
    </row>
    <row r="122" spans="21:38" ht="16.5" customHeight="1">
      <c r="U122" s="476">
        <v>23</v>
      </c>
      <c r="V122" s="483" t="s">
        <v>111</v>
      </c>
      <c r="W122" s="484">
        <v>103513930</v>
      </c>
      <c r="X122" s="484">
        <v>69511060</v>
      </c>
      <c r="Y122" s="179">
        <v>47871922</v>
      </c>
      <c r="Z122" s="484">
        <v>330021522</v>
      </c>
      <c r="AA122" s="484">
        <v>22779382</v>
      </c>
      <c r="AB122" s="484">
        <v>87752750</v>
      </c>
      <c r="AC122" s="179">
        <v>45549102</v>
      </c>
      <c r="AD122" s="179">
        <v>57962238</v>
      </c>
      <c r="AE122" s="179">
        <v>58192341</v>
      </c>
      <c r="AF122" s="179">
        <v>51758602</v>
      </c>
      <c r="AG122" s="179">
        <v>63379758</v>
      </c>
      <c r="AL122" s="474"/>
    </row>
    <row r="123" spans="21:38" ht="16.5" customHeight="1">
      <c r="U123" s="442">
        <v>24</v>
      </c>
      <c r="V123" s="483" t="s">
        <v>112</v>
      </c>
      <c r="W123" s="484">
        <v>-844799</v>
      </c>
      <c r="X123" s="484">
        <v>-1066174</v>
      </c>
      <c r="Y123" s="179">
        <v>-11631219</v>
      </c>
      <c r="Z123" s="484">
        <v>-11849158</v>
      </c>
      <c r="AA123" s="484">
        <v>-14094373</v>
      </c>
      <c r="AB123" s="484">
        <v>-14976331</v>
      </c>
      <c r="AC123" s="179">
        <v>-13794659</v>
      </c>
      <c r="AD123" s="179">
        <v>-12019743</v>
      </c>
      <c r="AE123" s="179">
        <v>-11104734</v>
      </c>
      <c r="AF123" s="179">
        <v>-12049737</v>
      </c>
      <c r="AG123" s="179">
        <v>-14994595</v>
      </c>
      <c r="AL123" s="474"/>
    </row>
    <row r="124" spans="21:38">
      <c r="V124" s="483" t="s">
        <v>1700</v>
      </c>
      <c r="W124" s="484"/>
      <c r="X124" s="484"/>
      <c r="Y124" s="179"/>
      <c r="Z124" s="484"/>
      <c r="AA124" s="484"/>
      <c r="AB124" s="484"/>
      <c r="AC124" s="179"/>
      <c r="AD124" s="179"/>
      <c r="AE124" s="179"/>
      <c r="AF124" s="179"/>
      <c r="AG124" s="179"/>
    </row>
    <row r="125" spans="21:38" ht="16.5" customHeight="1">
      <c r="U125" s="172">
        <v>25</v>
      </c>
      <c r="V125" s="483" t="s">
        <v>113</v>
      </c>
      <c r="W125" s="484">
        <v>-11974218338</v>
      </c>
      <c r="X125" s="484">
        <v>-10353150483</v>
      </c>
      <c r="Y125" s="485">
        <v>-10261921098</v>
      </c>
      <c r="Z125" s="484">
        <v>-13324719577</v>
      </c>
      <c r="AA125" s="484">
        <v>-13276337060</v>
      </c>
      <c r="AB125" s="484">
        <v>-9553355981</v>
      </c>
      <c r="AC125" s="485">
        <v>-13363870263</v>
      </c>
      <c r="AD125" s="485">
        <v>-13816382253</v>
      </c>
      <c r="AE125" s="485">
        <v>-14362322808</v>
      </c>
      <c r="AF125" s="485">
        <v>-16445650216</v>
      </c>
      <c r="AG125" s="485">
        <v>-18313783629</v>
      </c>
      <c r="AL125" s="474"/>
    </row>
    <row r="126" spans="21:38" ht="16.5" customHeight="1">
      <c r="U126" s="442">
        <v>26</v>
      </c>
      <c r="V126" s="483" t="s">
        <v>114</v>
      </c>
      <c r="W126" s="484">
        <v>26030173274</v>
      </c>
      <c r="X126" s="484">
        <v>28882707860</v>
      </c>
      <c r="Y126" s="485">
        <v>32505180844</v>
      </c>
      <c r="Z126" s="484">
        <v>32894442263</v>
      </c>
      <c r="AA126" s="484">
        <v>27245981713</v>
      </c>
      <c r="AB126" s="484">
        <v>38407487612</v>
      </c>
      <c r="AC126" s="485">
        <v>36630203613</v>
      </c>
      <c r="AD126" s="485">
        <v>36907803025</v>
      </c>
      <c r="AE126" s="485">
        <v>47150710738</v>
      </c>
      <c r="AF126" s="485">
        <v>38157584964</v>
      </c>
      <c r="AG126" s="485">
        <v>43913411059</v>
      </c>
      <c r="AL126" s="474"/>
    </row>
    <row r="127" spans="21:38" ht="16.5" customHeight="1">
      <c r="U127" s="442"/>
      <c r="V127" s="483" t="s">
        <v>115</v>
      </c>
      <c r="W127" s="484"/>
      <c r="X127" s="484"/>
      <c r="Y127" s="485"/>
      <c r="Z127" s="484"/>
      <c r="AA127" s="484"/>
      <c r="AB127" s="484"/>
      <c r="AC127" s="485"/>
      <c r="AD127" s="485"/>
      <c r="AE127" s="485"/>
      <c r="AF127" s="485"/>
      <c r="AG127" s="485"/>
      <c r="AL127" s="474"/>
    </row>
    <row r="128" spans="21:38" ht="16.5" customHeight="1">
      <c r="U128" s="442">
        <v>108</v>
      </c>
      <c r="V128" s="483" t="s">
        <v>1669</v>
      </c>
      <c r="W128" s="484">
        <v>-2346879024</v>
      </c>
      <c r="X128" s="484">
        <v>-1980000000</v>
      </c>
      <c r="Y128" s="485">
        <v>21000000000</v>
      </c>
      <c r="Z128" s="484">
        <v>0</v>
      </c>
      <c r="AA128" s="484">
        <v>0</v>
      </c>
      <c r="AB128" s="484">
        <v>0</v>
      </c>
      <c r="AC128" s="485">
        <v>-1000000000</v>
      </c>
      <c r="AD128" s="485">
        <v>-3600000000</v>
      </c>
      <c r="AE128" s="485">
        <v>0</v>
      </c>
      <c r="AF128" s="485">
        <v>-2000000000</v>
      </c>
      <c r="AG128" s="485">
        <v>-10000000000</v>
      </c>
      <c r="AL128" s="474"/>
    </row>
    <row r="129" spans="21:38" ht="16.5" customHeight="1">
      <c r="U129" s="442">
        <v>108</v>
      </c>
      <c r="V129" s="483" t="s">
        <v>116</v>
      </c>
      <c r="W129" s="484">
        <v>-13000000000</v>
      </c>
      <c r="X129" s="484"/>
      <c r="Y129" s="485">
        <v>0</v>
      </c>
      <c r="Z129" s="484">
        <v>0</v>
      </c>
      <c r="AA129" s="484">
        <v>0</v>
      </c>
      <c r="AB129" s="484">
        <v>0</v>
      </c>
      <c r="AC129" s="485">
        <v>0</v>
      </c>
      <c r="AD129" s="485">
        <v>0</v>
      </c>
      <c r="AE129" s="485">
        <v>0</v>
      </c>
      <c r="AF129" s="485">
        <v>0</v>
      </c>
      <c r="AG129" s="485">
        <v>0</v>
      </c>
      <c r="AL129" s="474"/>
    </row>
    <row r="130" spans="21:38" ht="16.5" customHeight="1">
      <c r="U130" s="442">
        <v>108</v>
      </c>
      <c r="V130" s="483" t="s">
        <v>117</v>
      </c>
      <c r="W130" s="484">
        <v>0</v>
      </c>
      <c r="X130" s="484"/>
      <c r="Y130" s="485">
        <v>0</v>
      </c>
      <c r="Z130" s="484">
        <v>0</v>
      </c>
      <c r="AA130" s="484">
        <v>0</v>
      </c>
      <c r="AB130" s="484">
        <v>0</v>
      </c>
      <c r="AC130" s="485">
        <v>0</v>
      </c>
      <c r="AD130" s="485">
        <v>0</v>
      </c>
      <c r="AE130" s="485">
        <v>0</v>
      </c>
      <c r="AF130" s="485">
        <v>0</v>
      </c>
      <c r="AG130" s="485">
        <v>0</v>
      </c>
      <c r="AL130" s="474"/>
    </row>
    <row r="131" spans="21:38" ht="16.5" customHeight="1">
      <c r="U131" s="442">
        <v>108</v>
      </c>
      <c r="V131" s="483" t="s">
        <v>99</v>
      </c>
      <c r="W131" s="484">
        <v>18100000000</v>
      </c>
      <c r="X131" s="484">
        <v>3000000000</v>
      </c>
      <c r="Y131" s="485">
        <v>0</v>
      </c>
      <c r="Z131" s="484">
        <v>0</v>
      </c>
      <c r="AA131" s="484">
        <v>0</v>
      </c>
      <c r="AB131" s="484">
        <v>0</v>
      </c>
      <c r="AC131" s="485">
        <v>0</v>
      </c>
      <c r="AD131" s="485">
        <v>0</v>
      </c>
      <c r="AE131" s="485">
        <v>0</v>
      </c>
      <c r="AF131" s="485">
        <v>0</v>
      </c>
      <c r="AG131" s="485">
        <v>0</v>
      </c>
      <c r="AL131" s="474"/>
    </row>
    <row r="132" spans="21:38" ht="16.5" customHeight="1">
      <c r="U132" s="442">
        <v>102</v>
      </c>
      <c r="V132" s="483" t="s">
        <v>118</v>
      </c>
      <c r="W132" s="484">
        <v>-8455973049</v>
      </c>
      <c r="X132" s="484">
        <v>-5148426108</v>
      </c>
      <c r="Y132" s="485">
        <v>-3988625191</v>
      </c>
      <c r="Z132" s="484">
        <v>-1837693894</v>
      </c>
      <c r="AA132" s="484">
        <v>-3913663483</v>
      </c>
      <c r="AB132" s="484">
        <v>-5241334485</v>
      </c>
      <c r="AC132" s="485">
        <v>-1127309442</v>
      </c>
      <c r="AD132" s="485">
        <v>-4100785163</v>
      </c>
      <c r="AE132" s="485">
        <v>-2096474551</v>
      </c>
      <c r="AF132" s="485">
        <v>-2771072761</v>
      </c>
      <c r="AG132" s="485">
        <v>-9353020134</v>
      </c>
      <c r="AL132" s="474"/>
    </row>
    <row r="133" spans="21:38" ht="16.5" customHeight="1">
      <c r="U133" s="442">
        <v>103</v>
      </c>
      <c r="V133" s="483" t="s">
        <v>119</v>
      </c>
      <c r="W133" s="484">
        <v>23205325</v>
      </c>
      <c r="X133" s="484">
        <v>37275436</v>
      </c>
      <c r="Y133" s="485">
        <v>56348668</v>
      </c>
      <c r="Z133" s="484">
        <v>633970124</v>
      </c>
      <c r="AA133" s="484">
        <v>46681087</v>
      </c>
      <c r="AB133" s="484">
        <v>92664586</v>
      </c>
      <c r="AC133" s="485">
        <v>55583444</v>
      </c>
      <c r="AD133" s="485">
        <v>79227840</v>
      </c>
      <c r="AE133" s="485">
        <v>87140199</v>
      </c>
      <c r="AF133" s="485">
        <v>284027511</v>
      </c>
      <c r="AG133" s="485">
        <v>74369902</v>
      </c>
      <c r="AL133" s="474"/>
    </row>
    <row r="134" spans="21:38" ht="16.5" customHeight="1">
      <c r="U134" s="442">
        <v>108</v>
      </c>
      <c r="V134" s="483" t="s">
        <v>120</v>
      </c>
      <c r="W134" s="484">
        <v>-275066689</v>
      </c>
      <c r="X134" s="484">
        <v>-729849880</v>
      </c>
      <c r="Y134" s="485">
        <v>-459185392</v>
      </c>
      <c r="Z134" s="484">
        <v>-590552802</v>
      </c>
      <c r="AA134" s="484">
        <v>-606834571</v>
      </c>
      <c r="AB134" s="484">
        <v>-3744212897</v>
      </c>
      <c r="AC134" s="485">
        <v>-909152864</v>
      </c>
      <c r="AD134" s="485">
        <v>-466998233</v>
      </c>
      <c r="AE134" s="485">
        <v>-569742826</v>
      </c>
      <c r="AF134" s="485">
        <v>-1499383988</v>
      </c>
      <c r="AG134" s="485">
        <v>-1685851405</v>
      </c>
      <c r="AL134" s="474"/>
    </row>
    <row r="135" spans="21:38" ht="16.5" customHeight="1">
      <c r="U135" s="442">
        <v>108</v>
      </c>
      <c r="V135" s="483" t="s">
        <v>121</v>
      </c>
      <c r="W135" s="484">
        <v>0</v>
      </c>
      <c r="X135" s="484">
        <v>0</v>
      </c>
      <c r="Y135" s="485">
        <v>0</v>
      </c>
      <c r="Z135" s="484">
        <v>0</v>
      </c>
      <c r="AA135" s="484">
        <v>0</v>
      </c>
      <c r="AB135" s="484">
        <v>0</v>
      </c>
      <c r="AC135" s="485">
        <v>0</v>
      </c>
      <c r="AD135" s="485">
        <v>0</v>
      </c>
      <c r="AE135" s="485">
        <v>0</v>
      </c>
      <c r="AF135" s="485">
        <v>0</v>
      </c>
      <c r="AG135" s="485">
        <v>0</v>
      </c>
      <c r="AL135" s="474"/>
    </row>
    <row r="136" spans="21:38" ht="16.5" customHeight="1">
      <c r="U136" s="442">
        <v>108</v>
      </c>
      <c r="V136" s="483" t="s">
        <v>80</v>
      </c>
      <c r="W136" s="484">
        <v>0</v>
      </c>
      <c r="X136" s="484">
        <v>-37925926</v>
      </c>
      <c r="Y136" s="485">
        <v>0</v>
      </c>
      <c r="Z136" s="484">
        <v>-309593</v>
      </c>
      <c r="AA136" s="484">
        <v>0</v>
      </c>
      <c r="AB136" s="484">
        <v>0</v>
      </c>
      <c r="AC136" s="485">
        <v>-3163755</v>
      </c>
      <c r="AD136" s="485">
        <v>0</v>
      </c>
      <c r="AE136" s="485">
        <v>0</v>
      </c>
      <c r="AF136" s="485">
        <v>0</v>
      </c>
      <c r="AG136" s="485">
        <v>0</v>
      </c>
      <c r="AL136" s="474"/>
    </row>
    <row r="137" spans="21:38" ht="16.5" customHeight="1">
      <c r="U137" s="442">
        <v>108</v>
      </c>
      <c r="V137" s="483" t="s">
        <v>81</v>
      </c>
      <c r="W137" s="484">
        <v>-122025538</v>
      </c>
      <c r="X137" s="484">
        <v>-93130597</v>
      </c>
      <c r="Y137" s="485">
        <v>-59139906</v>
      </c>
      <c r="Z137" s="484">
        <v>-16311011</v>
      </c>
      <c r="AA137" s="484">
        <v>-92751478</v>
      </c>
      <c r="AB137" s="484">
        <v>-33766439</v>
      </c>
      <c r="AC137" s="485">
        <v>-17388351</v>
      </c>
      <c r="AD137" s="485">
        <v>-14745721</v>
      </c>
      <c r="AE137" s="485">
        <v>-32539039</v>
      </c>
      <c r="AF137" s="485">
        <v>-102345913</v>
      </c>
      <c r="AG137" s="485">
        <v>-186109169</v>
      </c>
      <c r="AL137" s="474"/>
    </row>
    <row r="138" spans="21:38" ht="16.5" customHeight="1">
      <c r="U138" s="442">
        <v>108</v>
      </c>
      <c r="V138" s="483" t="s">
        <v>122</v>
      </c>
      <c r="W138" s="484">
        <v>0</v>
      </c>
      <c r="X138" s="484">
        <v>0</v>
      </c>
      <c r="Y138" s="485">
        <v>0</v>
      </c>
      <c r="Z138" s="484">
        <v>0</v>
      </c>
      <c r="AA138" s="484">
        <v>0</v>
      </c>
      <c r="AB138" s="484">
        <v>-80830534</v>
      </c>
      <c r="AC138" s="485">
        <v>0</v>
      </c>
      <c r="AD138" s="485">
        <v>-1001261070</v>
      </c>
      <c r="AE138" s="485">
        <v>0</v>
      </c>
      <c r="AF138" s="485">
        <v>0</v>
      </c>
      <c r="AG138" s="485">
        <v>-8800</v>
      </c>
      <c r="AL138" s="474"/>
    </row>
    <row r="139" spans="21:38" ht="16.5" customHeight="1">
      <c r="U139" s="442">
        <v>108</v>
      </c>
      <c r="V139" s="483" t="s">
        <v>123</v>
      </c>
      <c r="W139" s="484">
        <v>0</v>
      </c>
      <c r="X139" s="484">
        <v>167599610</v>
      </c>
      <c r="Y139" s="485">
        <v>86844476</v>
      </c>
      <c r="Z139" s="484">
        <v>0</v>
      </c>
      <c r="AA139" s="484">
        <v>0</v>
      </c>
      <c r="AB139" s="484">
        <v>0</v>
      </c>
      <c r="AC139" s="485">
        <v>0</v>
      </c>
      <c r="AD139" s="485">
        <v>4802600</v>
      </c>
      <c r="AE139" s="485">
        <v>0</v>
      </c>
      <c r="AF139" s="485">
        <v>295846482</v>
      </c>
      <c r="AG139" s="485">
        <v>11400</v>
      </c>
      <c r="AL139" s="474"/>
    </row>
    <row r="140" spans="21:38" ht="16.5" customHeight="1">
      <c r="U140" s="442">
        <v>108</v>
      </c>
      <c r="V140" s="483" t="s">
        <v>294</v>
      </c>
      <c r="W140" s="484">
        <v>0</v>
      </c>
      <c r="X140" s="484">
        <v>0</v>
      </c>
      <c r="Y140" s="485">
        <v>0</v>
      </c>
      <c r="Z140" s="484">
        <v>0</v>
      </c>
      <c r="AA140" s="484">
        <v>0</v>
      </c>
      <c r="AB140" s="484">
        <v>0</v>
      </c>
      <c r="AC140" s="485">
        <v>0</v>
      </c>
      <c r="AD140" s="485">
        <v>0</v>
      </c>
      <c r="AE140" s="485">
        <v>0</v>
      </c>
      <c r="AF140" s="485">
        <v>0</v>
      </c>
      <c r="AG140" s="485">
        <v>0</v>
      </c>
      <c r="AL140" s="474"/>
    </row>
    <row r="141" spans="21:38">
      <c r="U141" s="80">
        <v>108</v>
      </c>
      <c r="V141" s="483" t="s">
        <v>1701</v>
      </c>
      <c r="W141" s="484"/>
      <c r="X141" s="484"/>
      <c r="Y141" s="485"/>
      <c r="Z141" s="484"/>
      <c r="AA141" s="484"/>
      <c r="AB141" s="484"/>
      <c r="AC141" s="485"/>
      <c r="AD141" s="485"/>
      <c r="AE141" s="485"/>
      <c r="AF141" s="485"/>
      <c r="AG141" s="485">
        <v>0</v>
      </c>
    </row>
    <row r="142" spans="21:38" ht="16.5" customHeight="1">
      <c r="U142" s="442">
        <v>108</v>
      </c>
      <c r="V142" s="483" t="s">
        <v>50</v>
      </c>
      <c r="W142" s="484">
        <v>0</v>
      </c>
      <c r="X142" s="484">
        <v>0</v>
      </c>
      <c r="Y142" s="485">
        <v>0</v>
      </c>
      <c r="Z142" s="484">
        <v>0</v>
      </c>
      <c r="AA142" s="484">
        <v>-3590909</v>
      </c>
      <c r="AB142" s="484">
        <v>6956552</v>
      </c>
      <c r="AC142" s="485">
        <v>0</v>
      </c>
      <c r="AD142" s="485">
        <v>0</v>
      </c>
      <c r="AE142" s="485">
        <v>0</v>
      </c>
      <c r="AF142" s="485">
        <v>0</v>
      </c>
      <c r="AG142" s="485">
        <v>0</v>
      </c>
      <c r="AL142" s="474"/>
    </row>
    <row r="143" spans="21:38" ht="16.5" customHeight="1">
      <c r="U143" s="442">
        <v>108</v>
      </c>
      <c r="V143" s="483" t="s">
        <v>107</v>
      </c>
      <c r="W143" s="484">
        <v>0</v>
      </c>
      <c r="X143" s="484">
        <v>0</v>
      </c>
      <c r="Y143" s="485">
        <v>-12000000</v>
      </c>
      <c r="Z143" s="484">
        <v>0</v>
      </c>
      <c r="AA143" s="484">
        <v>-221852289</v>
      </c>
      <c r="AB143" s="484">
        <v>0</v>
      </c>
      <c r="AC143" s="485">
        <v>0</v>
      </c>
      <c r="AD143" s="485">
        <v>0</v>
      </c>
      <c r="AE143" s="485">
        <v>0</v>
      </c>
      <c r="AF143" s="485">
        <v>0</v>
      </c>
      <c r="AG143" s="485">
        <v>0</v>
      </c>
      <c r="AL143" s="474"/>
    </row>
    <row r="144" spans="21:38" ht="16.5" customHeight="1">
      <c r="U144" s="442">
        <v>108</v>
      </c>
      <c r="V144" s="483" t="s">
        <v>417</v>
      </c>
      <c r="W144" s="484">
        <v>0</v>
      </c>
      <c r="X144" s="484">
        <v>0</v>
      </c>
      <c r="Y144" s="485">
        <v>0</v>
      </c>
      <c r="Z144" s="484">
        <v>1665048</v>
      </c>
      <c r="AA144" s="484">
        <v>0</v>
      </c>
      <c r="AB144" s="484">
        <v>987600</v>
      </c>
      <c r="AC144" s="485">
        <v>1670000000</v>
      </c>
      <c r="AD144" s="485">
        <v>0</v>
      </c>
      <c r="AE144" s="485">
        <v>0</v>
      </c>
      <c r="AF144" s="485">
        <v>0</v>
      </c>
      <c r="AG144" s="485">
        <v>0</v>
      </c>
      <c r="AL144" s="474"/>
    </row>
    <row r="145" spans="21:38" ht="16.5" customHeight="1">
      <c r="U145" s="442">
        <v>108</v>
      </c>
      <c r="V145" s="483" t="s">
        <v>434</v>
      </c>
      <c r="W145" s="484"/>
      <c r="X145" s="484"/>
      <c r="Y145" s="485"/>
      <c r="Z145" s="484">
        <v>339425839</v>
      </c>
      <c r="AA145" s="484">
        <v>0</v>
      </c>
      <c r="AB145" s="484">
        <v>27056601</v>
      </c>
      <c r="AC145" s="485">
        <v>0</v>
      </c>
      <c r="AD145" s="485">
        <v>0</v>
      </c>
      <c r="AE145" s="485">
        <v>0</v>
      </c>
      <c r="AF145" s="485">
        <v>0</v>
      </c>
      <c r="AG145" s="485">
        <v>0</v>
      </c>
      <c r="AL145" s="474"/>
    </row>
    <row r="146" spans="21:38" ht="16.5" customHeight="1">
      <c r="U146" s="442">
        <v>108</v>
      </c>
      <c r="V146" s="483" t="s">
        <v>124</v>
      </c>
      <c r="W146" s="484">
        <v>-21803231</v>
      </c>
      <c r="X146" s="484">
        <v>-3519621</v>
      </c>
      <c r="Y146" s="485">
        <v>-17531832</v>
      </c>
      <c r="Z146" s="484">
        <v>-24842000</v>
      </c>
      <c r="AA146" s="484">
        <v>-23293108</v>
      </c>
      <c r="AB146" s="484">
        <v>-6410171</v>
      </c>
      <c r="AC146" s="485">
        <v>-26617180</v>
      </c>
      <c r="AD146" s="485">
        <v>-17845506</v>
      </c>
      <c r="AE146" s="485">
        <v>-6678800</v>
      </c>
      <c r="AF146" s="485">
        <v>-65042340</v>
      </c>
      <c r="AG146" s="485">
        <v>-22885750</v>
      </c>
      <c r="AL146" s="474"/>
    </row>
    <row r="147" spans="21:38" ht="16.5" customHeight="1">
      <c r="U147" s="442">
        <v>108</v>
      </c>
      <c r="V147" s="483" t="s">
        <v>125</v>
      </c>
      <c r="W147" s="484">
        <v>1402446</v>
      </c>
      <c r="X147" s="484">
        <v>1351971</v>
      </c>
      <c r="Y147" s="485">
        <v>28473502</v>
      </c>
      <c r="Z147" s="484">
        <v>16228250</v>
      </c>
      <c r="AA147" s="484">
        <v>22456712</v>
      </c>
      <c r="AB147" s="484">
        <v>27176440</v>
      </c>
      <c r="AC147" s="485">
        <v>5929831</v>
      </c>
      <c r="AD147" s="485">
        <v>80582075</v>
      </c>
      <c r="AE147" s="485">
        <v>2554205</v>
      </c>
      <c r="AF147" s="485">
        <v>2516871</v>
      </c>
      <c r="AG147" s="485">
        <v>80171060</v>
      </c>
      <c r="AL147" s="474"/>
    </row>
    <row r="148" spans="21:38" ht="16.5" customHeight="1">
      <c r="U148" s="442">
        <v>108</v>
      </c>
      <c r="V148" s="483" t="s">
        <v>126</v>
      </c>
      <c r="W148" s="484">
        <v>-96558356</v>
      </c>
      <c r="X148" s="484">
        <v>-53445842</v>
      </c>
      <c r="Y148" s="485">
        <v>-67351213</v>
      </c>
      <c r="Z148" s="484">
        <v>-22752853</v>
      </c>
      <c r="AA148" s="484">
        <v>-27554575</v>
      </c>
      <c r="AB148" s="484">
        <v>-449619570</v>
      </c>
      <c r="AC148" s="485">
        <v>-29830381</v>
      </c>
      <c r="AD148" s="485">
        <v>-15411450</v>
      </c>
      <c r="AE148" s="485">
        <v>-40369592</v>
      </c>
      <c r="AF148" s="485">
        <v>-123638712</v>
      </c>
      <c r="AG148" s="485">
        <v>-173049335</v>
      </c>
      <c r="AL148" s="474"/>
    </row>
    <row r="149" spans="21:38" ht="16.5" customHeight="1">
      <c r="U149" s="442">
        <v>108</v>
      </c>
      <c r="V149" s="483" t="s">
        <v>127</v>
      </c>
      <c r="W149" s="484">
        <v>0</v>
      </c>
      <c r="X149" s="484">
        <v>1469426</v>
      </c>
      <c r="Y149" s="485">
        <v>1092850</v>
      </c>
      <c r="Z149" s="484">
        <v>132909</v>
      </c>
      <c r="AA149" s="484">
        <v>4848</v>
      </c>
      <c r="AB149" s="484">
        <v>103751</v>
      </c>
      <c r="AC149" s="485">
        <v>0</v>
      </c>
      <c r="AD149" s="485">
        <v>0</v>
      </c>
      <c r="AE149" s="485">
        <v>0</v>
      </c>
      <c r="AF149" s="485">
        <v>0</v>
      </c>
      <c r="AG149" s="485">
        <v>0</v>
      </c>
      <c r="AL149" s="474"/>
    </row>
    <row r="150" spans="21:38" ht="16.5" customHeight="1">
      <c r="U150" s="442">
        <v>108</v>
      </c>
      <c r="V150" s="483" t="s">
        <v>359</v>
      </c>
      <c r="W150" s="484">
        <v>630237466</v>
      </c>
      <c r="X150" s="484">
        <v>0</v>
      </c>
      <c r="Y150" s="485">
        <v>0</v>
      </c>
      <c r="Z150" s="484">
        <v>0</v>
      </c>
      <c r="AA150" s="484">
        <v>0</v>
      </c>
      <c r="AB150" s="484">
        <v>0</v>
      </c>
      <c r="AC150" s="485">
        <v>0</v>
      </c>
      <c r="AD150" s="485">
        <v>0</v>
      </c>
      <c r="AE150" s="485">
        <v>0</v>
      </c>
      <c r="AF150" s="485">
        <v>0</v>
      </c>
      <c r="AG150" s="485">
        <v>0</v>
      </c>
      <c r="AL150" s="474"/>
    </row>
    <row r="151" spans="21:38" ht="16.5" customHeight="1">
      <c r="U151" s="442">
        <v>108</v>
      </c>
      <c r="V151" s="483" t="s">
        <v>256</v>
      </c>
      <c r="W151" s="484">
        <v>0</v>
      </c>
      <c r="X151" s="484">
        <v>0</v>
      </c>
      <c r="Y151" s="485">
        <v>0</v>
      </c>
      <c r="Z151" s="484">
        <v>0</v>
      </c>
      <c r="AA151" s="484">
        <v>0</v>
      </c>
      <c r="AB151" s="484">
        <v>0</v>
      </c>
      <c r="AC151" s="485">
        <v>0</v>
      </c>
      <c r="AD151" s="485">
        <v>0</v>
      </c>
      <c r="AE151" s="485">
        <v>0</v>
      </c>
      <c r="AF151" s="485">
        <v>0</v>
      </c>
      <c r="AG151" s="485">
        <v>0</v>
      </c>
      <c r="AL151" s="474"/>
    </row>
    <row r="152" spans="21:38" ht="16.5" customHeight="1">
      <c r="U152" s="466">
        <v>108</v>
      </c>
      <c r="V152" s="483" t="s">
        <v>360</v>
      </c>
      <c r="W152" s="484">
        <v>-117138611</v>
      </c>
      <c r="X152" s="484">
        <v>0</v>
      </c>
      <c r="Y152" s="485">
        <v>-51071712915</v>
      </c>
      <c r="Z152" s="484">
        <v>0</v>
      </c>
      <c r="AA152" s="484">
        <v>0</v>
      </c>
      <c r="AB152" s="484">
        <v>0</v>
      </c>
      <c r="AC152" s="485">
        <v>0</v>
      </c>
      <c r="AD152" s="485">
        <v>0</v>
      </c>
      <c r="AE152" s="485">
        <v>0</v>
      </c>
      <c r="AF152" s="485">
        <v>0</v>
      </c>
      <c r="AG152" s="485">
        <v>0</v>
      </c>
      <c r="AL152" s="474"/>
    </row>
    <row r="153" spans="21:38">
      <c r="U153" s="80">
        <v>108</v>
      </c>
      <c r="V153" s="483" t="s">
        <v>1702</v>
      </c>
      <c r="W153" s="484">
        <v>0</v>
      </c>
      <c r="X153" s="484">
        <v>0</v>
      </c>
      <c r="Y153" s="485">
        <v>0</v>
      </c>
      <c r="Z153" s="484">
        <v>0</v>
      </c>
      <c r="AA153" s="484">
        <v>0</v>
      </c>
      <c r="AB153" s="484">
        <v>0</v>
      </c>
      <c r="AC153" s="485">
        <v>0</v>
      </c>
      <c r="AD153" s="485">
        <v>0</v>
      </c>
      <c r="AE153" s="485">
        <v>0</v>
      </c>
      <c r="AF153" s="485">
        <v>0</v>
      </c>
      <c r="AG153" s="485">
        <v>0</v>
      </c>
    </row>
    <row r="154" spans="21:38">
      <c r="U154" s="442">
        <v>108</v>
      </c>
      <c r="V154" s="483" t="s">
        <v>128</v>
      </c>
      <c r="W154" s="484">
        <v>-28760000</v>
      </c>
      <c r="X154" s="484">
        <v>-14645659</v>
      </c>
      <c r="Y154" s="485">
        <v>-33070000</v>
      </c>
      <c r="Z154" s="484">
        <v>-28470000</v>
      </c>
      <c r="AA154" s="484">
        <v>-110690000</v>
      </c>
      <c r="AB154" s="484">
        <v>-33064277</v>
      </c>
      <c r="AC154" s="485">
        <v>-19240000</v>
      </c>
      <c r="AD154" s="485">
        <v>-24940000</v>
      </c>
      <c r="AE154" s="485">
        <v>-14770000</v>
      </c>
      <c r="AF154" s="485">
        <v>-37440000</v>
      </c>
      <c r="AG154" s="485">
        <v>-33480000</v>
      </c>
    </row>
    <row r="155" spans="21:38">
      <c r="U155" s="442">
        <v>108</v>
      </c>
      <c r="V155" s="483" t="s">
        <v>257</v>
      </c>
      <c r="W155" s="484">
        <v>13556435</v>
      </c>
      <c r="X155" s="484">
        <v>27449689</v>
      </c>
      <c r="Y155" s="485">
        <v>35439405</v>
      </c>
      <c r="Z155" s="484">
        <v>30273467</v>
      </c>
      <c r="AA155" s="484">
        <v>29479766</v>
      </c>
      <c r="AB155" s="484">
        <v>105644961</v>
      </c>
      <c r="AC155" s="485">
        <v>33348505</v>
      </c>
      <c r="AD155" s="485">
        <v>28805731</v>
      </c>
      <c r="AE155" s="485">
        <v>23250594</v>
      </c>
      <c r="AF155" s="485">
        <v>20725066</v>
      </c>
      <c r="AG155" s="485">
        <v>27789272</v>
      </c>
    </row>
    <row r="156" spans="21:38">
      <c r="U156" s="442">
        <v>108</v>
      </c>
      <c r="V156" s="483" t="s">
        <v>158</v>
      </c>
      <c r="W156" s="484">
        <v>1447641</v>
      </c>
      <c r="X156" s="484">
        <v>1827583</v>
      </c>
      <c r="Y156" s="485">
        <v>2197688</v>
      </c>
      <c r="Z156" s="484">
        <v>2948054</v>
      </c>
      <c r="AA156" s="484">
        <v>-4451841</v>
      </c>
      <c r="AB156" s="484">
        <v>-1922077</v>
      </c>
      <c r="AC156" s="485">
        <v>28055143</v>
      </c>
      <c r="AD156" s="485">
        <v>-26323332</v>
      </c>
      <c r="AE156" s="485">
        <v>1638198</v>
      </c>
      <c r="AF156" s="485">
        <v>312553</v>
      </c>
      <c r="AG156" s="485">
        <v>800167</v>
      </c>
    </row>
    <row r="157" spans="21:38" ht="16.5" customHeight="1">
      <c r="U157" s="442">
        <v>109</v>
      </c>
      <c r="V157" s="483" t="s">
        <v>114</v>
      </c>
      <c r="W157" s="484">
        <v>-5694355185</v>
      </c>
      <c r="X157" s="484">
        <v>-4823969918</v>
      </c>
      <c r="Y157" s="485">
        <v>-34498219860</v>
      </c>
      <c r="Z157" s="484">
        <v>-1496288462</v>
      </c>
      <c r="AA157" s="484">
        <v>-4906059841</v>
      </c>
      <c r="AB157" s="484">
        <v>-9330569959</v>
      </c>
      <c r="AC157" s="485">
        <v>-1339785050</v>
      </c>
      <c r="AD157" s="485">
        <v>-9074892229</v>
      </c>
      <c r="AE157" s="485">
        <v>-2646091612</v>
      </c>
      <c r="AF157" s="485">
        <v>-5995495231</v>
      </c>
      <c r="AG157" s="485">
        <v>-21271262792</v>
      </c>
      <c r="AL157" s="474"/>
    </row>
    <row r="158" spans="21:38" ht="16.5" customHeight="1">
      <c r="U158" s="442"/>
      <c r="V158" s="483" t="s">
        <v>129</v>
      </c>
      <c r="W158" s="484"/>
      <c r="X158" s="484"/>
      <c r="Y158" s="485"/>
      <c r="Z158" s="484"/>
      <c r="AA158" s="484"/>
      <c r="AB158" s="484"/>
      <c r="AC158" s="485"/>
      <c r="AD158" s="485"/>
      <c r="AE158" s="485"/>
      <c r="AF158" s="485"/>
      <c r="AG158" s="485"/>
      <c r="AL158" s="474"/>
    </row>
    <row r="159" spans="21:38" ht="16.5" customHeight="1">
      <c r="U159" s="442">
        <v>110</v>
      </c>
      <c r="V159" s="483" t="s">
        <v>130</v>
      </c>
      <c r="W159" s="484">
        <v>30000000</v>
      </c>
      <c r="X159" s="484">
        <v>0</v>
      </c>
      <c r="Y159" s="485">
        <v>0</v>
      </c>
      <c r="Z159" s="484">
        <v>0</v>
      </c>
      <c r="AA159" s="484">
        <v>859500000</v>
      </c>
      <c r="AB159" s="484">
        <v>336000000</v>
      </c>
      <c r="AC159" s="485">
        <v>1557200000</v>
      </c>
      <c r="AD159" s="485">
        <v>740000000</v>
      </c>
      <c r="AE159" s="485">
        <v>1050000000</v>
      </c>
      <c r="AF159" s="485">
        <v>560000000</v>
      </c>
      <c r="AG159" s="485">
        <v>977500000</v>
      </c>
      <c r="AL159" s="474"/>
    </row>
    <row r="160" spans="21:38" ht="16.5" customHeight="1">
      <c r="U160" s="442">
        <v>110</v>
      </c>
      <c r="V160" s="483" t="s">
        <v>131</v>
      </c>
      <c r="W160" s="484">
        <v>-50000000</v>
      </c>
      <c r="X160" s="484">
        <v>-30000000</v>
      </c>
      <c r="Y160" s="485">
        <v>-30000000</v>
      </c>
      <c r="Z160" s="484">
        <v>0</v>
      </c>
      <c r="AA160" s="484">
        <v>-559500000</v>
      </c>
      <c r="AB160" s="484">
        <v>-636000000</v>
      </c>
      <c r="AC160" s="485">
        <v>-1370400000</v>
      </c>
      <c r="AD160" s="485">
        <v>-586800000</v>
      </c>
      <c r="AE160" s="485">
        <v>-1240000000</v>
      </c>
      <c r="AF160" s="485">
        <v>-370000000</v>
      </c>
      <c r="AG160" s="485">
        <v>-620000000</v>
      </c>
      <c r="AL160" s="474"/>
    </row>
    <row r="161" spans="21:38" ht="16.5" customHeight="1">
      <c r="U161" s="442">
        <v>111</v>
      </c>
      <c r="V161" s="483" t="s">
        <v>132</v>
      </c>
      <c r="W161" s="484">
        <v>0</v>
      </c>
      <c r="X161" s="484">
        <v>4040000000</v>
      </c>
      <c r="Y161" s="485">
        <v>0</v>
      </c>
      <c r="Z161" s="484">
        <v>0</v>
      </c>
      <c r="AA161" s="484">
        <v>0</v>
      </c>
      <c r="AB161" s="484">
        <v>980000000</v>
      </c>
      <c r="AC161" s="485">
        <v>0</v>
      </c>
      <c r="AD161" s="485">
        <v>0</v>
      </c>
      <c r="AE161" s="485">
        <v>880000000</v>
      </c>
      <c r="AF161" s="485">
        <v>0</v>
      </c>
      <c r="AG161" s="485">
        <v>0</v>
      </c>
      <c r="AL161" s="474"/>
    </row>
    <row r="162" spans="21:38" ht="16.5" customHeight="1">
      <c r="U162" s="442">
        <v>111</v>
      </c>
      <c r="V162" s="483" t="s">
        <v>133</v>
      </c>
      <c r="W162" s="484">
        <v>-266082000</v>
      </c>
      <c r="X162" s="484">
        <v>-82538000</v>
      </c>
      <c r="Y162" s="485">
        <v>-489960000</v>
      </c>
      <c r="Z162" s="484">
        <v>-512910000</v>
      </c>
      <c r="AA162" s="484">
        <v>-397130000</v>
      </c>
      <c r="AB162" s="484">
        <v>-488600000</v>
      </c>
      <c r="AC162" s="485">
        <v>-554660000</v>
      </c>
      <c r="AD162" s="485">
        <v>-562520000</v>
      </c>
      <c r="AE162" s="485">
        <v>-459190000</v>
      </c>
      <c r="AF162" s="485">
        <v>-597170000</v>
      </c>
      <c r="AG162" s="485">
        <v>-517860000</v>
      </c>
      <c r="AL162" s="474"/>
    </row>
    <row r="163" spans="21:38" ht="16.5" customHeight="1">
      <c r="U163" s="442">
        <v>119</v>
      </c>
      <c r="V163" s="483" t="s">
        <v>134</v>
      </c>
      <c r="W163" s="484">
        <v>205778802</v>
      </c>
      <c r="X163" s="484">
        <v>154900574</v>
      </c>
      <c r="Y163" s="485">
        <v>146416744</v>
      </c>
      <c r="Z163" s="484">
        <v>302504402</v>
      </c>
      <c r="AA163" s="484">
        <v>163676902</v>
      </c>
      <c r="AB163" s="484">
        <v>153773952</v>
      </c>
      <c r="AC163" s="485">
        <v>182551542</v>
      </c>
      <c r="AD163" s="485">
        <v>207017226</v>
      </c>
      <c r="AE163" s="485">
        <v>201493260</v>
      </c>
      <c r="AF163" s="485">
        <v>167059350</v>
      </c>
      <c r="AG163" s="485">
        <v>241191208</v>
      </c>
      <c r="AL163" s="474"/>
    </row>
    <row r="164" spans="21:38" ht="16.5" customHeight="1">
      <c r="U164" s="442">
        <v>119</v>
      </c>
      <c r="V164" s="483" t="s">
        <v>135</v>
      </c>
      <c r="W164" s="484">
        <v>-58484479</v>
      </c>
      <c r="X164" s="484">
        <v>-82728207</v>
      </c>
      <c r="Y164" s="485">
        <v>-75366558</v>
      </c>
      <c r="Z164" s="484">
        <v>-1230710740</v>
      </c>
      <c r="AA164" s="484">
        <v>-239174843</v>
      </c>
      <c r="AB164" s="484">
        <v>-137810970</v>
      </c>
      <c r="AC164" s="485">
        <v>-117867582</v>
      </c>
      <c r="AD164" s="485">
        <v>-126984454</v>
      </c>
      <c r="AE164" s="485">
        <v>-179691804</v>
      </c>
      <c r="AF164" s="485">
        <v>-117557880</v>
      </c>
      <c r="AG164" s="485">
        <v>-87341275</v>
      </c>
      <c r="AL164" s="474"/>
    </row>
    <row r="165" spans="21:38" ht="16.5" customHeight="1">
      <c r="U165" s="442">
        <v>119</v>
      </c>
      <c r="V165" s="483" t="s">
        <v>136</v>
      </c>
      <c r="W165" s="484">
        <v>0</v>
      </c>
      <c r="X165" s="484">
        <v>0</v>
      </c>
      <c r="Y165" s="485">
        <v>0</v>
      </c>
      <c r="Z165" s="484">
        <v>0</v>
      </c>
      <c r="AA165" s="484">
        <v>0</v>
      </c>
      <c r="AB165" s="484">
        <v>0</v>
      </c>
      <c r="AC165" s="485">
        <v>0</v>
      </c>
      <c r="AD165" s="485">
        <v>0</v>
      </c>
      <c r="AE165" s="485">
        <v>0</v>
      </c>
      <c r="AF165" s="485">
        <v>0</v>
      </c>
      <c r="AG165" s="485">
        <v>0</v>
      </c>
      <c r="AL165" s="474"/>
    </row>
    <row r="166" spans="21:38" ht="16.5" customHeight="1">
      <c r="U166" s="442">
        <v>119</v>
      </c>
      <c r="V166" s="483" t="s">
        <v>137</v>
      </c>
      <c r="W166" s="484">
        <v>-10000000</v>
      </c>
      <c r="X166" s="484">
        <v>-20000000</v>
      </c>
      <c r="Y166" s="485">
        <v>-20000000</v>
      </c>
      <c r="Z166" s="484">
        <v>0</v>
      </c>
      <c r="AA166" s="484">
        <v>0</v>
      </c>
      <c r="AB166" s="484">
        <v>0</v>
      </c>
      <c r="AC166" s="485">
        <v>0</v>
      </c>
      <c r="AD166" s="485">
        <v>0</v>
      </c>
      <c r="AE166" s="485">
        <v>0</v>
      </c>
      <c r="AF166" s="485">
        <v>0</v>
      </c>
      <c r="AG166" s="485">
        <v>0</v>
      </c>
      <c r="AL166" s="474"/>
    </row>
    <row r="167" spans="21:38" ht="16.5" customHeight="1">
      <c r="U167" s="442">
        <v>113</v>
      </c>
      <c r="V167" s="483" t="s">
        <v>138</v>
      </c>
      <c r="W167" s="484">
        <v>0</v>
      </c>
      <c r="X167" s="484">
        <v>0</v>
      </c>
      <c r="Y167" s="485">
        <v>0</v>
      </c>
      <c r="Z167" s="484">
        <v>0</v>
      </c>
      <c r="AA167" s="484">
        <v>0</v>
      </c>
      <c r="AB167" s="484">
        <v>0</v>
      </c>
      <c r="AC167" s="485">
        <v>0</v>
      </c>
      <c r="AD167" s="485">
        <v>0</v>
      </c>
      <c r="AE167" s="485">
        <v>0</v>
      </c>
      <c r="AF167" s="485">
        <v>0</v>
      </c>
      <c r="AG167" s="485">
        <v>0</v>
      </c>
      <c r="AL167" s="474"/>
    </row>
    <row r="168" spans="21:38" ht="16.5" customHeight="1">
      <c r="U168" s="442">
        <v>119</v>
      </c>
      <c r="V168" s="483" t="s">
        <v>60</v>
      </c>
      <c r="W168" s="484">
        <v>0</v>
      </c>
      <c r="X168" s="484">
        <v>0</v>
      </c>
      <c r="Y168" s="485">
        <v>0</v>
      </c>
      <c r="Z168" s="484">
        <v>0</v>
      </c>
      <c r="AA168" s="484">
        <v>0</v>
      </c>
      <c r="AB168" s="484">
        <v>0</v>
      </c>
      <c r="AC168" s="485">
        <v>0</v>
      </c>
      <c r="AD168" s="485">
        <v>0</v>
      </c>
      <c r="AE168" s="485">
        <v>0</v>
      </c>
      <c r="AF168" s="485">
        <v>0</v>
      </c>
      <c r="AG168" s="485">
        <v>0</v>
      </c>
      <c r="AL168" s="474"/>
    </row>
    <row r="169" spans="21:38" ht="16.5" customHeight="1">
      <c r="U169" s="442">
        <v>119</v>
      </c>
      <c r="V169" s="483" t="s">
        <v>11</v>
      </c>
      <c r="W169" s="484">
        <v>0</v>
      </c>
      <c r="X169" s="484">
        <v>0</v>
      </c>
      <c r="Y169" s="485">
        <v>0</v>
      </c>
      <c r="Z169" s="484">
        <v>0</v>
      </c>
      <c r="AA169" s="484">
        <v>49000000</v>
      </c>
      <c r="AB169" s="484">
        <v>0</v>
      </c>
      <c r="AC169" s="485">
        <v>0</v>
      </c>
      <c r="AD169" s="485">
        <v>0</v>
      </c>
      <c r="AE169" s="485">
        <v>0</v>
      </c>
      <c r="AF169" s="485">
        <v>0</v>
      </c>
      <c r="AG169" s="485">
        <v>0</v>
      </c>
      <c r="AL169" s="474"/>
    </row>
    <row r="170" spans="21:38" ht="16.5" customHeight="1">
      <c r="U170" s="442">
        <v>114</v>
      </c>
      <c r="V170" s="483" t="s">
        <v>62</v>
      </c>
      <c r="W170" s="484">
        <v>-1145735334</v>
      </c>
      <c r="X170" s="484">
        <v>-8230327000</v>
      </c>
      <c r="Y170" s="485">
        <v>-21420</v>
      </c>
      <c r="Z170" s="484">
        <v>-2359202599</v>
      </c>
      <c r="AA170" s="484">
        <v>-7641035960</v>
      </c>
      <c r="AB170" s="484">
        <v>-978128700</v>
      </c>
      <c r="AC170" s="485">
        <v>-7973021167</v>
      </c>
      <c r="AD170" s="485">
        <v>-1632062500</v>
      </c>
      <c r="AE170" s="485">
        <v>-12697497657</v>
      </c>
      <c r="AF170" s="485">
        <v>-10000823478</v>
      </c>
      <c r="AG170" s="485">
        <v>-16000107910</v>
      </c>
      <c r="AL170" s="474"/>
    </row>
    <row r="171" spans="21:38" ht="16.5" customHeight="1">
      <c r="U171" s="442">
        <v>119</v>
      </c>
      <c r="V171" s="483" t="s">
        <v>61</v>
      </c>
      <c r="W171" s="484">
        <v>234863500</v>
      </c>
      <c r="X171" s="484">
        <v>1095047000</v>
      </c>
      <c r="Y171" s="485">
        <v>265371400</v>
      </c>
      <c r="Z171" s="484">
        <v>284009900</v>
      </c>
      <c r="AA171" s="484">
        <v>259366900</v>
      </c>
      <c r="AB171" s="484">
        <v>268187200</v>
      </c>
      <c r="AC171" s="485">
        <v>319227500</v>
      </c>
      <c r="AD171" s="485">
        <v>333572100</v>
      </c>
      <c r="AE171" s="485">
        <v>1194312750</v>
      </c>
      <c r="AF171" s="485">
        <v>359912550</v>
      </c>
      <c r="AG171" s="485">
        <v>383047450</v>
      </c>
      <c r="AL171" s="474"/>
    </row>
    <row r="172" spans="21:38" ht="16.5" customHeight="1">
      <c r="U172" s="442">
        <v>119</v>
      </c>
      <c r="V172" s="483" t="s">
        <v>423</v>
      </c>
      <c r="W172" s="484">
        <v>0</v>
      </c>
      <c r="X172" s="484">
        <v>0</v>
      </c>
      <c r="Y172" s="485">
        <v>0</v>
      </c>
      <c r="Z172" s="484">
        <v>0</v>
      </c>
      <c r="AA172" s="484">
        <v>-34020000</v>
      </c>
      <c r="AB172" s="484">
        <v>-33516000</v>
      </c>
      <c r="AC172" s="485">
        <v>0</v>
      </c>
      <c r="AD172" s="485">
        <v>-33699000</v>
      </c>
      <c r="AE172" s="485">
        <v>0</v>
      </c>
      <c r="AF172" s="485">
        <v>0</v>
      </c>
      <c r="AG172" s="485">
        <v>0</v>
      </c>
      <c r="AL172" s="474"/>
    </row>
    <row r="173" spans="21:38" ht="16.5" customHeight="1">
      <c r="U173" s="442">
        <v>119</v>
      </c>
      <c r="V173" s="483" t="s">
        <v>71</v>
      </c>
      <c r="W173" s="484">
        <v>0</v>
      </c>
      <c r="X173" s="484">
        <v>0</v>
      </c>
      <c r="Y173" s="485">
        <v>0</v>
      </c>
      <c r="Z173" s="484">
        <v>0</v>
      </c>
      <c r="AA173" s="484">
        <v>0</v>
      </c>
      <c r="AB173" s="484">
        <v>0</v>
      </c>
      <c r="AC173" s="485">
        <v>0</v>
      </c>
      <c r="AD173" s="485">
        <v>0</v>
      </c>
      <c r="AE173" s="485">
        <v>0</v>
      </c>
      <c r="AF173" s="485">
        <v>0</v>
      </c>
      <c r="AG173" s="485">
        <v>0</v>
      </c>
      <c r="AL173" s="474"/>
    </row>
    <row r="174" spans="21:38" ht="16.5" customHeight="1">
      <c r="U174" s="466">
        <v>119</v>
      </c>
      <c r="V174" s="483" t="s">
        <v>358</v>
      </c>
      <c r="W174" s="484">
        <v>-854108644</v>
      </c>
      <c r="X174" s="484">
        <v>854108644</v>
      </c>
      <c r="Y174" s="485">
        <v>0</v>
      </c>
      <c r="Z174" s="484">
        <v>-3640681297</v>
      </c>
      <c r="AA174" s="484">
        <v>3640681297</v>
      </c>
      <c r="AB174" s="484">
        <v>0</v>
      </c>
      <c r="AC174" s="485">
        <v>-2026504575</v>
      </c>
      <c r="AD174" s="485">
        <v>2026504575</v>
      </c>
      <c r="AE174" s="485">
        <v>0</v>
      </c>
      <c r="AF174" s="485">
        <v>0</v>
      </c>
      <c r="AG174" s="485">
        <v>0</v>
      </c>
      <c r="AL174" s="474"/>
    </row>
    <row r="175" spans="21:38" ht="16.5" customHeight="1">
      <c r="U175" s="442">
        <v>117</v>
      </c>
      <c r="V175" s="483" t="s">
        <v>72</v>
      </c>
      <c r="W175" s="484">
        <v>-10266427734</v>
      </c>
      <c r="X175" s="484">
        <v>-11178648217</v>
      </c>
      <c r="Y175" s="485">
        <v>-11878215658</v>
      </c>
      <c r="Z175" s="484">
        <v>-12438258082</v>
      </c>
      <c r="AA175" s="484">
        <v>-12920236823</v>
      </c>
      <c r="AB175" s="484">
        <v>-14364125168</v>
      </c>
      <c r="AC175" s="485">
        <v>-14218349260</v>
      </c>
      <c r="AD175" s="485">
        <v>-17323190689</v>
      </c>
      <c r="AE175" s="485">
        <v>-16596889768</v>
      </c>
      <c r="AF175" s="485">
        <v>-19695481127</v>
      </c>
      <c r="AG175" s="485">
        <v>-22475210567</v>
      </c>
      <c r="AL175" s="474"/>
    </row>
    <row r="176" spans="21:38" ht="16.5" customHeight="1">
      <c r="U176" s="442">
        <v>119</v>
      </c>
      <c r="V176" s="483" t="s">
        <v>12</v>
      </c>
      <c r="W176" s="484">
        <v>-147000000</v>
      </c>
      <c r="X176" s="484">
        <v>0</v>
      </c>
      <c r="Y176" s="485">
        <v>-75605000</v>
      </c>
      <c r="Z176" s="484">
        <v>-40719000</v>
      </c>
      <c r="AA176" s="484">
        <v>-68300766</v>
      </c>
      <c r="AB176" s="484">
        <v>-51413342</v>
      </c>
      <c r="AC176" s="485">
        <v>-443882447</v>
      </c>
      <c r="AD176" s="485">
        <v>-111534636</v>
      </c>
      <c r="AE176" s="485">
        <v>-297362176</v>
      </c>
      <c r="AF176" s="485">
        <v>-283806816</v>
      </c>
      <c r="AG176" s="485">
        <v>-248113014</v>
      </c>
      <c r="AL176" s="474"/>
    </row>
    <row r="177" spans="21:38" ht="16.5" customHeight="1">
      <c r="U177" s="466">
        <v>119</v>
      </c>
      <c r="V177" s="483" t="s">
        <v>1525</v>
      </c>
      <c r="W177" s="484"/>
      <c r="X177" s="484"/>
      <c r="Y177" s="485"/>
      <c r="Z177" s="484"/>
      <c r="AA177" s="484"/>
      <c r="AB177" s="484"/>
      <c r="AC177" s="485"/>
      <c r="AD177" s="485"/>
      <c r="AE177" s="485"/>
      <c r="AF177" s="485">
        <v>140008000</v>
      </c>
      <c r="AG177" s="485">
        <v>0</v>
      </c>
      <c r="AL177" s="474"/>
    </row>
    <row r="178" spans="21:38" ht="16.5" customHeight="1">
      <c r="U178" s="442">
        <v>119</v>
      </c>
      <c r="V178" s="483" t="s">
        <v>73</v>
      </c>
      <c r="W178" s="484">
        <v>-100826334</v>
      </c>
      <c r="X178" s="484">
        <v>-70636653</v>
      </c>
      <c r="Y178" s="485">
        <v>-5415513</v>
      </c>
      <c r="Z178" s="484">
        <v>-32722321</v>
      </c>
      <c r="AA178" s="484">
        <v>-76084762</v>
      </c>
      <c r="AB178" s="484">
        <v>-83910905</v>
      </c>
      <c r="AC178" s="485">
        <v>-34616223</v>
      </c>
      <c r="AD178" s="485">
        <v>-51736888</v>
      </c>
      <c r="AE178" s="485">
        <v>-42560675</v>
      </c>
      <c r="AF178" s="485">
        <v>-114005101</v>
      </c>
      <c r="AG178" s="485">
        <v>-81414024</v>
      </c>
      <c r="AL178" s="474"/>
    </row>
    <row r="179" spans="21:38">
      <c r="U179" s="80">
        <v>119</v>
      </c>
      <c r="V179" s="483" t="s">
        <v>1703</v>
      </c>
      <c r="W179" s="484"/>
      <c r="X179" s="484"/>
      <c r="Y179" s="485"/>
      <c r="Z179" s="484"/>
      <c r="AA179" s="484"/>
      <c r="AB179" s="484"/>
      <c r="AC179" s="485"/>
      <c r="AD179" s="485"/>
      <c r="AE179" s="485"/>
      <c r="AF179" s="485"/>
      <c r="AG179" s="485">
        <v>0</v>
      </c>
    </row>
    <row r="180" spans="21:38" ht="16.5" customHeight="1">
      <c r="U180" s="442">
        <v>119</v>
      </c>
      <c r="V180" s="483" t="s">
        <v>156</v>
      </c>
      <c r="W180" s="484">
        <v>102300</v>
      </c>
      <c r="X180" s="484">
        <v>4300</v>
      </c>
      <c r="Y180" s="485">
        <v>10200</v>
      </c>
      <c r="Z180" s="484">
        <v>4300</v>
      </c>
      <c r="AA180" s="484">
        <v>4300</v>
      </c>
      <c r="AB180" s="484">
        <v>131000</v>
      </c>
      <c r="AC180" s="485">
        <v>44500</v>
      </c>
      <c r="AD180" s="485">
        <v>0</v>
      </c>
      <c r="AE180" s="485">
        <v>8901</v>
      </c>
      <c r="AF180" s="485">
        <v>0</v>
      </c>
      <c r="AG180" s="485">
        <v>1</v>
      </c>
      <c r="AL180" s="474"/>
    </row>
    <row r="181" spans="21:38" ht="16.5" customHeight="1">
      <c r="U181" s="442">
        <v>120</v>
      </c>
      <c r="V181" s="483" t="s">
        <v>114</v>
      </c>
      <c r="W181" s="484">
        <v>-12427919923</v>
      </c>
      <c r="X181" s="484">
        <v>-13550817559</v>
      </c>
      <c r="Y181" s="485">
        <v>-12162785805</v>
      </c>
      <c r="Z181" s="484">
        <v>-19668685437</v>
      </c>
      <c r="AA181" s="484">
        <v>-16963253755</v>
      </c>
      <c r="AB181" s="484">
        <v>-15035412933</v>
      </c>
      <c r="AC181" s="485">
        <v>-24680277712</v>
      </c>
      <c r="AD181" s="485">
        <v>-17121434556</v>
      </c>
      <c r="AE181" s="485">
        <v>-28187377169</v>
      </c>
      <c r="AF181" s="485">
        <v>-29951864502</v>
      </c>
      <c r="AG181" s="485">
        <v>-38428308131</v>
      </c>
      <c r="AL181" s="474"/>
    </row>
    <row r="182" spans="21:38" ht="16.5" customHeight="1">
      <c r="U182" s="442"/>
      <c r="V182" s="483" t="s">
        <v>97</v>
      </c>
      <c r="W182" s="484">
        <v>0</v>
      </c>
      <c r="X182" s="484">
        <v>0</v>
      </c>
      <c r="Y182" s="485">
        <v>0</v>
      </c>
      <c r="Z182" s="484">
        <v>0</v>
      </c>
      <c r="AA182" s="484">
        <v>0</v>
      </c>
      <c r="AB182" s="484">
        <v>0</v>
      </c>
      <c r="AC182" s="485">
        <v>0</v>
      </c>
      <c r="AD182" s="485">
        <v>0</v>
      </c>
      <c r="AE182" s="485"/>
      <c r="AF182" s="485"/>
      <c r="AG182" s="485"/>
      <c r="AL182" s="474"/>
    </row>
    <row r="183" spans="21:38" ht="16.5" customHeight="1">
      <c r="U183" s="442">
        <v>121</v>
      </c>
      <c r="V183" s="483" t="s">
        <v>1670</v>
      </c>
      <c r="W183" s="484">
        <v>7907898166</v>
      </c>
      <c r="X183" s="484">
        <v>10507920383</v>
      </c>
      <c r="Y183" s="485">
        <v>-14155824821</v>
      </c>
      <c r="Z183" s="484">
        <v>11729468364</v>
      </c>
      <c r="AA183" s="484">
        <v>5376668117</v>
      </c>
      <c r="AB183" s="484">
        <v>14041504720</v>
      </c>
      <c r="AC183" s="485">
        <v>10610140851</v>
      </c>
      <c r="AD183" s="485">
        <v>10711476530</v>
      </c>
      <c r="AE183" s="485">
        <v>16317241957</v>
      </c>
      <c r="AF183" s="485">
        <v>2210225231</v>
      </c>
      <c r="AG183" s="485">
        <v>-15786159864</v>
      </c>
      <c r="AL183" s="474"/>
    </row>
    <row r="184" spans="21:38" ht="16.5" customHeight="1">
      <c r="U184" s="442">
        <v>122</v>
      </c>
      <c r="V184" s="483" t="s">
        <v>98</v>
      </c>
      <c r="W184" s="484">
        <v>29462962861</v>
      </c>
      <c r="X184" s="484">
        <v>37370861027</v>
      </c>
      <c r="Y184" s="485">
        <v>47878781410</v>
      </c>
      <c r="Z184" s="484">
        <v>33722956589</v>
      </c>
      <c r="AA184" s="484">
        <v>45452424953</v>
      </c>
      <c r="AB184" s="484">
        <v>50829093070</v>
      </c>
      <c r="AC184" s="485">
        <v>64870597790</v>
      </c>
      <c r="AD184" s="485">
        <v>75480738641</v>
      </c>
      <c r="AE184" s="485">
        <v>86192215171</v>
      </c>
      <c r="AF184" s="485">
        <v>102509457128</v>
      </c>
      <c r="AG184" s="485">
        <v>104719682359</v>
      </c>
      <c r="AL184" s="474"/>
    </row>
    <row r="185" spans="21:38" ht="16.5" customHeight="1">
      <c r="U185" s="442">
        <v>123</v>
      </c>
      <c r="V185" s="483" t="s">
        <v>244</v>
      </c>
      <c r="W185" s="484">
        <v>0</v>
      </c>
      <c r="X185" s="484">
        <v>0</v>
      </c>
      <c r="Y185" s="485">
        <v>0</v>
      </c>
      <c r="Z185" s="484">
        <v>0</v>
      </c>
      <c r="AA185" s="484">
        <v>0</v>
      </c>
      <c r="AB185" s="484">
        <v>0</v>
      </c>
      <c r="AC185" s="485">
        <v>0</v>
      </c>
      <c r="AD185" s="485">
        <v>0</v>
      </c>
      <c r="AE185" s="485">
        <v>0</v>
      </c>
      <c r="AF185" s="485">
        <v>0</v>
      </c>
      <c r="AG185" s="485">
        <v>0</v>
      </c>
      <c r="AL185" s="474"/>
    </row>
    <row r="186" spans="21:38" ht="16.5" customHeight="1">
      <c r="U186" s="442">
        <v>124</v>
      </c>
      <c r="V186" s="483" t="s">
        <v>245</v>
      </c>
      <c r="W186" s="484">
        <v>37370861027</v>
      </c>
      <c r="X186" s="484">
        <v>47878781410</v>
      </c>
      <c r="Y186" s="485">
        <v>33722956589</v>
      </c>
      <c r="Z186" s="484">
        <v>45452424953</v>
      </c>
      <c r="AA186" s="484">
        <v>50829093070</v>
      </c>
      <c r="AB186" s="484">
        <v>64870597790</v>
      </c>
      <c r="AC186" s="485">
        <v>75480738641</v>
      </c>
      <c r="AD186" s="485">
        <v>86192215171</v>
      </c>
      <c r="AE186" s="485">
        <v>102509457128</v>
      </c>
      <c r="AF186" s="485">
        <v>104719682359</v>
      </c>
      <c r="AG186" s="485">
        <v>88933522495</v>
      </c>
      <c r="AL186" s="474"/>
    </row>
    <row r="187" spans="21:38" ht="16.5" customHeight="1">
      <c r="AL187" s="474"/>
    </row>
    <row r="188" spans="21:38" ht="16.5" customHeight="1">
      <c r="AL188" s="474"/>
    </row>
    <row r="189" spans="21:38" ht="16.5" customHeight="1">
      <c r="AL189" s="474"/>
    </row>
    <row r="218" spans="21:33" ht="16.5" customHeight="1">
      <c r="U218" s="442"/>
      <c r="W218" s="486"/>
      <c r="X218" s="486"/>
      <c r="Y218" s="486"/>
      <c r="Z218" s="486"/>
      <c r="AA218" s="487"/>
      <c r="AB218" s="486"/>
      <c r="AC218" s="486"/>
      <c r="AD218" s="486"/>
      <c r="AE218" s="487"/>
      <c r="AF218" s="487"/>
      <c r="AG218" s="488"/>
    </row>
    <row r="219" spans="21:33" ht="16.5" customHeight="1">
      <c r="U219" s="442"/>
      <c r="W219" s="486"/>
      <c r="X219" s="486"/>
      <c r="Y219" s="486"/>
      <c r="Z219" s="486"/>
      <c r="AA219" s="487"/>
      <c r="AB219" s="486"/>
      <c r="AC219" s="486"/>
      <c r="AD219" s="486"/>
      <c r="AE219" s="487"/>
      <c r="AF219" s="487"/>
      <c r="AG219" s="487"/>
    </row>
    <row r="220" spans="21:33" ht="16.5" customHeight="1">
      <c r="V220" s="80" t="s">
        <v>13</v>
      </c>
      <c r="W220" s="487"/>
      <c r="X220" s="487"/>
      <c r="Y220" s="487"/>
      <c r="Z220" s="487"/>
      <c r="AA220" s="489"/>
      <c r="AB220" s="487"/>
      <c r="AC220" s="487"/>
      <c r="AD220" s="489"/>
      <c r="AE220" s="489"/>
      <c r="AF220" s="489"/>
      <c r="AG220" s="489"/>
    </row>
    <row r="221" spans="21:33" ht="16.5" customHeight="1">
      <c r="U221" s="414">
        <v>4</v>
      </c>
      <c r="V221" s="472" t="s">
        <v>246</v>
      </c>
      <c r="W221" s="473">
        <v>0</v>
      </c>
      <c r="X221" s="473">
        <v>0</v>
      </c>
      <c r="Y221" s="179">
        <v>0</v>
      </c>
      <c r="Z221" s="473">
        <v>0</v>
      </c>
      <c r="AA221" s="473"/>
      <c r="AB221" s="473"/>
      <c r="AC221" s="179"/>
      <c r="AD221" s="179"/>
      <c r="AE221" s="179"/>
      <c r="AF221" s="179"/>
      <c r="AG221" s="179"/>
    </row>
    <row r="222" spans="21:33" ht="16.5" customHeight="1">
      <c r="U222" s="414">
        <v>21</v>
      </c>
      <c r="V222" s="472" t="s">
        <v>254</v>
      </c>
      <c r="W222" s="473">
        <v>0</v>
      </c>
      <c r="X222" s="473">
        <v>0</v>
      </c>
      <c r="Y222" s="179">
        <v>0</v>
      </c>
      <c r="Z222" s="473">
        <v>0</v>
      </c>
      <c r="AA222" s="473"/>
      <c r="AB222" s="473"/>
      <c r="AC222" s="179"/>
      <c r="AD222" s="179"/>
      <c r="AE222" s="179"/>
      <c r="AF222" s="179"/>
      <c r="AG222" s="179"/>
    </row>
    <row r="223" spans="21:33" ht="16.5" customHeight="1">
      <c r="U223" s="414">
        <v>21</v>
      </c>
      <c r="V223" s="472" t="s">
        <v>78</v>
      </c>
      <c r="W223" s="473">
        <v>0</v>
      </c>
      <c r="X223" s="473">
        <v>0</v>
      </c>
      <c r="Y223" s="179">
        <v>0</v>
      </c>
      <c r="Z223" s="473">
        <v>0</v>
      </c>
      <c r="AA223" s="473"/>
      <c r="AB223" s="473"/>
      <c r="AC223" s="179"/>
      <c r="AD223" s="179"/>
      <c r="AE223" s="179"/>
      <c r="AF223" s="179"/>
      <c r="AG223" s="179"/>
    </row>
    <row r="224" spans="21:33" ht="16.5" customHeight="1">
      <c r="U224" s="414">
        <v>21</v>
      </c>
      <c r="V224" s="472" t="s">
        <v>100</v>
      </c>
      <c r="W224" s="473">
        <v>0</v>
      </c>
      <c r="X224" s="473">
        <v>0</v>
      </c>
      <c r="Y224" s="179">
        <v>0</v>
      </c>
      <c r="Z224" s="473">
        <v>0</v>
      </c>
      <c r="AA224" s="473"/>
      <c r="AB224" s="473"/>
      <c r="AC224" s="179"/>
      <c r="AD224" s="179"/>
      <c r="AE224" s="179"/>
      <c r="AF224" s="179"/>
      <c r="AG224" s="179"/>
    </row>
    <row r="225" spans="21:33" ht="16.5" customHeight="1">
      <c r="U225" s="442">
        <v>108</v>
      </c>
      <c r="V225" s="483" t="s">
        <v>255</v>
      </c>
      <c r="W225" s="484">
        <v>0</v>
      </c>
      <c r="X225" s="484">
        <v>0</v>
      </c>
      <c r="Y225" s="485">
        <v>0</v>
      </c>
      <c r="Z225" s="484">
        <v>0</v>
      </c>
      <c r="AA225" s="484"/>
      <c r="AB225" s="484"/>
      <c r="AC225" s="485"/>
      <c r="AD225" s="485"/>
      <c r="AE225" s="485"/>
      <c r="AF225" s="485"/>
      <c r="AG225" s="485"/>
    </row>
    <row r="226" spans="21:33" ht="16.5" customHeight="1">
      <c r="U226" s="442">
        <v>119</v>
      </c>
      <c r="V226" s="483" t="s">
        <v>59</v>
      </c>
      <c r="W226" s="484">
        <v>0</v>
      </c>
      <c r="X226" s="484">
        <v>0</v>
      </c>
      <c r="Y226" s="485">
        <v>0</v>
      </c>
      <c r="Z226" s="484">
        <v>0</v>
      </c>
      <c r="AA226" s="484"/>
      <c r="AB226" s="484"/>
      <c r="AC226" s="485"/>
      <c r="AD226" s="485"/>
      <c r="AE226" s="485"/>
      <c r="AF226" s="485"/>
      <c r="AG226" s="485"/>
    </row>
    <row r="227" spans="21:33" ht="16.5" customHeight="1"/>
    <row r="228" spans="21:33" ht="16.5" customHeight="1"/>
    <row r="229" spans="21:33" ht="16.5" customHeight="1">
      <c r="U229" s="80" t="s">
        <v>397</v>
      </c>
    </row>
    <row r="230" spans="21:33" ht="16.5" customHeight="1">
      <c r="V230" s="80" t="s">
        <v>403</v>
      </c>
    </row>
    <row r="231" spans="21:33" ht="16.5" customHeight="1">
      <c r="V231" s="80" t="s">
        <v>404</v>
      </c>
    </row>
    <row r="232" spans="21:33" ht="16.5" customHeight="1">
      <c r="V232" s="80" t="s">
        <v>405</v>
      </c>
    </row>
    <row r="233" spans="21:33" ht="16.5" customHeight="1">
      <c r="V233" s="80" t="s">
        <v>406</v>
      </c>
    </row>
    <row r="234" spans="21:33" ht="16.5" customHeight="1">
      <c r="V234" s="80" t="s">
        <v>407</v>
      </c>
    </row>
    <row r="235" spans="21:33" ht="16.5" customHeight="1">
      <c r="V235" s="80" t="s">
        <v>408</v>
      </c>
    </row>
    <row r="236" spans="21:33" ht="16.5" customHeight="1">
      <c r="V236" s="80" t="s">
        <v>409</v>
      </c>
    </row>
    <row r="237" spans="21:33" ht="16.5" customHeight="1">
      <c r="V237" s="80" t="s">
        <v>410</v>
      </c>
    </row>
    <row r="238" spans="21:33" ht="16.5" customHeight="1">
      <c r="V238" s="80" t="s">
        <v>411</v>
      </c>
    </row>
    <row r="239" spans="21:33" ht="16.5" customHeight="1">
      <c r="V239" s="80" t="s">
        <v>412</v>
      </c>
    </row>
    <row r="240" spans="21:33" ht="16.5" customHeight="1"/>
    <row r="241" ht="16.5" customHeight="1"/>
    <row r="242" ht="16.5" customHeight="1"/>
    <row r="243" ht="16.5" customHeight="1"/>
    <row r="244" ht="16.5" customHeight="1"/>
  </sheetData>
  <sheetProtection algorithmName="SHA-512" hashValue="cS8fue1qEgyK3SyxvHVKmnnCMwd5th3sUCXSoWpB4O/Jj9TeekcniotReCJTwcUrvg+9Z/64TBEkV9OTa6Qd8w==" saltValue="KG3QIeqHslJ8oOsOAi+WfQ==" spinCount="100000" sheet="1" objects="1" scenarios="1"/>
  <customSheetViews>
    <customSheetView guid="{06451E13-97D0-44F4-875B-E8D80B2F1CF1}" showPageBreaks="1" fitToPage="1" printArea="1" hiddenRows="1" view="pageBreakPreview" topLeftCell="S172">
      <selection activeCell="V183" sqref="V183"/>
      <pageMargins left="0" right="0" top="0" bottom="0" header="0" footer="0"/>
      <printOptions horizontalCentered="1" verticalCentered="1"/>
      <pageSetup paperSize="9" scale="70" orientation="landscape" r:id="rId1"/>
      <headerFooter scaleWithDoc="0" alignWithMargins="0">
        <oddFooter>&amp;C&amp;"Arial,標準"&amp;12 21</oddFooter>
      </headerFooter>
    </customSheetView>
  </customSheetViews>
  <mergeCells count="47">
    <mergeCell ref="B38:E38"/>
    <mergeCell ref="B39:E39"/>
    <mergeCell ref="B40:E40"/>
    <mergeCell ref="T6:V6"/>
    <mergeCell ref="B6:E6"/>
    <mergeCell ref="F5:F6"/>
    <mergeCell ref="G5:G6"/>
    <mergeCell ref="H5:H6"/>
    <mergeCell ref="I5:I6"/>
    <mergeCell ref="J5:J6"/>
    <mergeCell ref="K5:K6"/>
    <mergeCell ref="L5:L6"/>
    <mergeCell ref="M5:M6"/>
    <mergeCell ref="N5:N6"/>
    <mergeCell ref="O5:O6"/>
    <mergeCell ref="P5:P6"/>
    <mergeCell ref="C8:E8"/>
    <mergeCell ref="C9:E9"/>
    <mergeCell ref="B7:E7"/>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6:E26"/>
    <mergeCell ref="C27:E27"/>
    <mergeCell ref="C28:E28"/>
    <mergeCell ref="C29:E29"/>
    <mergeCell ref="B25:E25"/>
    <mergeCell ref="C31:E31"/>
    <mergeCell ref="B30:E30"/>
    <mergeCell ref="C37:E37"/>
    <mergeCell ref="C32:E32"/>
    <mergeCell ref="C33:E33"/>
    <mergeCell ref="C34:E34"/>
    <mergeCell ref="C35:E35"/>
    <mergeCell ref="C36:E36"/>
  </mergeCells>
  <phoneticPr fontId="14"/>
  <conditionalFormatting sqref="AG181">
    <cfRule type="cellIs" dxfId="28" priority="13" stopIfTrue="1" operator="notEqual">
      <formula>SUM(#REF!)</formula>
    </cfRule>
  </conditionalFormatting>
  <conditionalFormatting sqref="AG186">
    <cfRule type="cellIs" dxfId="27" priority="14" stopIfTrue="1" operator="notEqual">
      <formula>SUM(#REF!)</formula>
    </cfRule>
  </conditionalFormatting>
  <conditionalFormatting sqref="AF181">
    <cfRule type="cellIs" dxfId="26" priority="15" stopIfTrue="1" operator="notEqual">
      <formula>SUM(#REF!)</formula>
    </cfRule>
  </conditionalFormatting>
  <conditionalFormatting sqref="AF186">
    <cfRule type="cellIs" dxfId="25" priority="16" stopIfTrue="1" operator="notEqual">
      <formula>SUM(#REF!)</formula>
    </cfRule>
  </conditionalFormatting>
  <conditionalFormatting sqref="AG157">
    <cfRule type="cellIs" dxfId="24" priority="17" stopIfTrue="1" operator="notEqual">
      <formula>SUM(#REF!)</formula>
    </cfRule>
  </conditionalFormatting>
  <conditionalFormatting sqref="AF157">
    <cfRule type="cellIs" dxfId="23" priority="18" stopIfTrue="1" operator="notEqual">
      <formula>SUM(#REF!)</formula>
    </cfRule>
  </conditionalFormatting>
  <conditionalFormatting sqref="AG121">
    <cfRule type="cellIs" dxfId="22" priority="19" stopIfTrue="1" operator="notEqual">
      <formula>SUM(#REF!)</formula>
    </cfRule>
  </conditionalFormatting>
  <conditionalFormatting sqref="AG126">
    <cfRule type="cellIs" dxfId="21" priority="20" stopIfTrue="1" operator="notEqual">
      <formula>SUM(#REF!)</formula>
    </cfRule>
  </conditionalFormatting>
  <conditionalFormatting sqref="AF121">
    <cfRule type="cellIs" dxfId="20" priority="21" stopIfTrue="1" operator="notEqual">
      <formula>SUM(#REF!)</formula>
    </cfRule>
  </conditionalFormatting>
  <conditionalFormatting sqref="T34:T36 B34:B36">
    <cfRule type="cellIs" dxfId="19" priority="11" stopIfTrue="1" operator="notEqual">
      <formula>$O$12+$O$13+#REF!+#REF!+#REF!+#REF!</formula>
    </cfRule>
  </conditionalFormatting>
  <conditionalFormatting sqref="B28 T28">
    <cfRule type="cellIs" dxfId="18" priority="12" stopIfTrue="1" operator="notEqual">
      <formula>$O$8+#REF!+$O$11+#REF!</formula>
    </cfRule>
  </conditionalFormatting>
  <conditionalFormatting sqref="AF181">
    <cfRule type="cellIs" dxfId="17" priority="1" stopIfTrue="1" operator="notEqual">
      <formula>SUM(#REF!)</formula>
    </cfRule>
  </conditionalFormatting>
  <conditionalFormatting sqref="AF186">
    <cfRule type="cellIs" dxfId="16" priority="2" stopIfTrue="1" operator="notEqual">
      <formula>SUM(#REF!)</formula>
    </cfRule>
  </conditionalFormatting>
  <conditionalFormatting sqref="AE181">
    <cfRule type="cellIs" dxfId="15" priority="3" stopIfTrue="1" operator="notEqual">
      <formula>SUM(#REF!)</formula>
    </cfRule>
  </conditionalFormatting>
  <conditionalFormatting sqref="AE186">
    <cfRule type="cellIs" dxfId="14" priority="4" stopIfTrue="1" operator="notEqual">
      <formula>SUM(#REF!)</formula>
    </cfRule>
  </conditionalFormatting>
  <conditionalFormatting sqref="AF157">
    <cfRule type="cellIs" dxfId="13" priority="5" stopIfTrue="1" operator="notEqual">
      <formula>SUM(#REF!)</formula>
    </cfRule>
  </conditionalFormatting>
  <conditionalFormatting sqref="AE157">
    <cfRule type="cellIs" dxfId="12" priority="6" stopIfTrue="1" operator="notEqual">
      <formula>SUM(#REF!)</formula>
    </cfRule>
  </conditionalFormatting>
  <conditionalFormatting sqref="AF121">
    <cfRule type="cellIs" dxfId="11" priority="7" stopIfTrue="1" operator="notEqual">
      <formula>SUM(#REF!)</formula>
    </cfRule>
  </conditionalFormatting>
  <conditionalFormatting sqref="AF126">
    <cfRule type="cellIs" dxfId="10" priority="8" stopIfTrue="1" operator="notEqual">
      <formula>SUM(#REF!)</formula>
    </cfRule>
  </conditionalFormatting>
  <conditionalFormatting sqref="AE121">
    <cfRule type="cellIs" dxfId="9" priority="9" stopIfTrue="1" operator="notEqual">
      <formula>SUM(#REF!)</formula>
    </cfRule>
  </conditionalFormatting>
  <conditionalFormatting sqref="AF126">
    <cfRule type="cellIs" dxfId="8" priority="26" stopIfTrue="1" operator="notEqual">
      <formula>SUM($AF$121:$AF$157)</formula>
    </cfRule>
  </conditionalFormatting>
  <printOptions horizontalCentered="1" verticalCentered="1"/>
  <pageMargins left="0" right="0" top="0" bottom="0" header="0" footer="0"/>
  <pageSetup paperSize="9" scale="72" orientation="landscape" r:id="rId2"/>
  <headerFooter scaleWithDoc="0" alignWithMargins="0">
    <oddFooter>&amp;C&amp;"Arial,標準"&amp;12 21</oddFooter>
  </headerFooter>
  <drawing r:id="rId3"/>
  <legacyDrawing r:id="rId4"/>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pageSetUpPr fitToPage="1"/>
  </sheetPr>
  <dimension ref="A1:AQ80"/>
  <sheetViews>
    <sheetView view="pageBreakPreview" topLeftCell="A4" zoomScale="70" zoomScaleNormal="100" zoomScaleSheetLayoutView="70" workbookViewId="0">
      <selection activeCell="N4" sqref="N1:AU1048576"/>
    </sheetView>
  </sheetViews>
  <sheetFormatPr defaultColWidth="9.140625" defaultRowHeight="15" customHeight="1" outlineLevelRow="1"/>
  <cols>
    <col min="1" max="1" width="11.140625" style="83" customWidth="1"/>
    <col min="2" max="2" width="2.85546875" style="83" customWidth="1"/>
    <col min="3" max="3" width="32" style="84" customWidth="1"/>
    <col min="4" max="4" width="1.85546875" style="84" customWidth="1"/>
    <col min="5" max="5" width="24.85546875" style="84" customWidth="1"/>
    <col min="6" max="6" width="15.140625" style="84" customWidth="1"/>
    <col min="7" max="7" width="15.140625" style="83" customWidth="1"/>
    <col min="8" max="8" width="15.140625" style="84" customWidth="1"/>
    <col min="9" max="12" width="15.140625" style="83" customWidth="1"/>
    <col min="13" max="13" width="12.140625" style="83" customWidth="1"/>
    <col min="14" max="14" width="3.140625" style="83" hidden="1" customWidth="1"/>
    <col min="15" max="15" width="2.85546875" style="83" hidden="1" customWidth="1"/>
    <col min="16" max="16" width="22.140625" style="83" hidden="1" customWidth="1"/>
    <col min="17" max="17" width="15.140625" style="83" hidden="1" customWidth="1"/>
    <col min="18" max="18" width="15.85546875" style="83" hidden="1" customWidth="1"/>
    <col min="19" max="19" width="15.140625" style="83" hidden="1" customWidth="1"/>
    <col min="20" max="20" width="15.85546875" style="83" hidden="1" customWidth="1"/>
    <col min="21" max="22" width="15.140625" style="83" hidden="1" customWidth="1"/>
    <col min="23" max="23" width="10.42578125" style="83" hidden="1" customWidth="1"/>
    <col min="24" max="24" width="0" style="83" hidden="1" customWidth="1"/>
    <col min="25" max="25" width="13.42578125" style="83" hidden="1" customWidth="1"/>
    <col min="26" max="26" width="11" style="83" hidden="1" customWidth="1"/>
    <col min="27" max="27" width="13.42578125" style="83" hidden="1" customWidth="1"/>
    <col min="28" max="29" width="0" style="83" hidden="1" customWidth="1"/>
    <col min="30" max="30" width="31" style="83" hidden="1" customWidth="1"/>
    <col min="31" max="31" width="21.85546875" style="83" hidden="1" customWidth="1"/>
    <col min="32" max="32" width="15.28515625" style="83" hidden="1" customWidth="1"/>
    <col min="33" max="34" width="15" style="83" hidden="1" customWidth="1"/>
    <col min="35" max="36" width="16.140625" style="83" hidden="1" customWidth="1"/>
    <col min="37" max="37" width="6" style="83" hidden="1" customWidth="1"/>
    <col min="38" max="38" width="8.140625" style="83" hidden="1" customWidth="1"/>
    <col min="39" max="47" width="0" style="83" hidden="1" customWidth="1"/>
    <col min="48" max="16384" width="9.140625" style="83"/>
  </cols>
  <sheetData>
    <row r="1" spans="1:43" ht="54.75" customHeight="1">
      <c r="A1" s="1486"/>
      <c r="B1" s="1486"/>
      <c r="C1" s="1487"/>
      <c r="D1" s="1487"/>
      <c r="E1" s="1487"/>
      <c r="F1" s="1487"/>
      <c r="G1" s="1486"/>
      <c r="H1" s="1487"/>
      <c r="I1" s="1486"/>
      <c r="J1" s="1486"/>
      <c r="K1" s="1486"/>
      <c r="L1" s="1486"/>
      <c r="M1" s="1486"/>
    </row>
    <row r="2" spans="1:43" ht="20.100000000000001" customHeight="1">
      <c r="A2" s="671"/>
      <c r="B2" s="1488"/>
      <c r="C2" s="1487"/>
      <c r="D2" s="1487"/>
      <c r="E2" s="1487"/>
      <c r="F2" s="1487"/>
      <c r="G2" s="1486"/>
      <c r="H2" s="1487"/>
      <c r="I2" s="1486"/>
      <c r="J2" s="1486"/>
      <c r="K2" s="1486"/>
      <c r="L2" s="1486"/>
      <c r="M2" s="1486"/>
    </row>
    <row r="3" spans="1:43" ht="23.25" customHeight="1">
      <c r="A3" s="1486"/>
      <c r="B3" s="1486"/>
      <c r="C3" s="1486"/>
      <c r="D3" s="1486"/>
      <c r="E3" s="1486"/>
      <c r="F3" s="1486"/>
      <c r="G3" s="1486"/>
      <c r="H3" s="1486"/>
      <c r="I3" s="1486"/>
      <c r="J3" s="1486"/>
      <c r="K3" s="1486"/>
      <c r="L3" s="1486"/>
      <c r="M3" s="1486"/>
      <c r="O3" s="1751" t="s">
        <v>1638</v>
      </c>
      <c r="P3" s="1752"/>
      <c r="Q3" s="1752"/>
      <c r="R3" s="1752"/>
      <c r="S3" s="1752"/>
      <c r="T3" s="1752"/>
      <c r="U3" s="1752"/>
      <c r="V3" s="1752"/>
      <c r="W3" s="1753"/>
    </row>
    <row r="4" spans="1:43" ht="31.5" customHeight="1">
      <c r="A4" s="1486"/>
      <c r="B4" s="1490"/>
      <c r="C4" s="1490"/>
      <c r="D4" s="1490"/>
      <c r="E4" s="1490"/>
      <c r="F4" s="1491"/>
      <c r="G4" s="1490"/>
      <c r="H4" s="1491"/>
      <c r="I4" s="1490"/>
      <c r="J4" s="1490"/>
      <c r="K4" s="1490"/>
      <c r="L4" s="1798" t="s">
        <v>1684</v>
      </c>
      <c r="M4" s="674" t="s">
        <v>1166</v>
      </c>
      <c r="N4" s="10"/>
      <c r="P4" s="83" t="s">
        <v>1671</v>
      </c>
    </row>
    <row r="5" spans="1:43" ht="14.1" customHeight="1">
      <c r="A5" s="1486"/>
      <c r="B5" s="2592"/>
      <c r="C5" s="2592"/>
      <c r="D5" s="2592"/>
      <c r="E5" s="2592"/>
      <c r="F5" s="1799" t="s">
        <v>1223</v>
      </c>
      <c r="G5" s="1800"/>
      <c r="H5" s="1800"/>
      <c r="I5" s="1800"/>
      <c r="J5" s="1801"/>
      <c r="K5" s="1802" t="s">
        <v>1224</v>
      </c>
      <c r="L5" s="1803"/>
      <c r="M5" s="1486"/>
      <c r="N5" s="89"/>
      <c r="O5" s="2630"/>
      <c r="P5" s="2631"/>
      <c r="Q5" s="1754" t="s">
        <v>1089</v>
      </c>
      <c r="R5" s="1754" t="s">
        <v>1430</v>
      </c>
      <c r="S5" s="1754" t="s">
        <v>1506</v>
      </c>
      <c r="T5" s="1754" t="s">
        <v>1626</v>
      </c>
      <c r="U5" s="1755" t="s">
        <v>1627</v>
      </c>
      <c r="V5" s="1755" t="s">
        <v>1637</v>
      </c>
      <c r="W5" s="1756"/>
      <c r="AD5" s="2630"/>
      <c r="AE5" s="2631"/>
      <c r="AF5" s="2133" t="s">
        <v>1089</v>
      </c>
      <c r="AG5" s="2133" t="s">
        <v>1430</v>
      </c>
      <c r="AH5" s="2133" t="s">
        <v>1506</v>
      </c>
      <c r="AI5" s="2133" t="s">
        <v>1626</v>
      </c>
      <c r="AJ5" s="1755" t="s">
        <v>1627</v>
      </c>
      <c r="AK5" s="1755" t="s">
        <v>1637</v>
      </c>
      <c r="AL5" s="1756"/>
    </row>
    <row r="6" spans="1:43" ht="14.1" customHeight="1">
      <c r="A6" s="1486"/>
      <c r="B6" s="2592"/>
      <c r="C6" s="2592"/>
      <c r="D6" s="2592"/>
      <c r="E6" s="2592"/>
      <c r="F6" s="2636" t="str">
        <f t="shared" ref="F6:K6" si="0">Q5</f>
        <v>2022.3</v>
      </c>
      <c r="G6" s="2636" t="str">
        <f t="shared" si="0"/>
        <v>2023.3</v>
      </c>
      <c r="H6" s="2636" t="str">
        <f t="shared" si="0"/>
        <v>2024.3</v>
      </c>
      <c r="I6" s="2636" t="str">
        <f t="shared" si="0"/>
        <v>2025.3</v>
      </c>
      <c r="J6" s="2636" t="str">
        <f t="shared" si="0"/>
        <v>2026.3</v>
      </c>
      <c r="K6" s="2638" t="str">
        <f t="shared" si="0"/>
        <v>2027.3</v>
      </c>
      <c r="L6" s="1804" t="s">
        <v>1225</v>
      </c>
      <c r="M6" s="1486"/>
      <c r="N6" s="89"/>
      <c r="O6" s="2632"/>
      <c r="P6" s="2633"/>
      <c r="Q6" s="507"/>
      <c r="R6" s="507"/>
      <c r="S6" s="507"/>
      <c r="T6" s="508"/>
      <c r="U6" s="508"/>
      <c r="V6" s="509"/>
      <c r="W6" s="510" t="s">
        <v>49</v>
      </c>
      <c r="Y6" s="511"/>
      <c r="AD6" s="2632"/>
      <c r="AE6" s="2633"/>
      <c r="AF6" s="507"/>
      <c r="AG6" s="507"/>
      <c r="AH6" s="507"/>
      <c r="AI6" s="508"/>
      <c r="AJ6" s="508"/>
      <c r="AK6" s="509"/>
      <c r="AL6" s="510" t="s">
        <v>49</v>
      </c>
    </row>
    <row r="7" spans="1:43" ht="12" customHeight="1" thickBot="1">
      <c r="A7" s="1486"/>
      <c r="B7" s="2593"/>
      <c r="C7" s="2593"/>
      <c r="D7" s="2593"/>
      <c r="E7" s="2593"/>
      <c r="F7" s="2637"/>
      <c r="G7" s="2637"/>
      <c r="H7" s="2637"/>
      <c r="I7" s="2637"/>
      <c r="J7" s="2637"/>
      <c r="K7" s="2639"/>
      <c r="L7" s="1851" t="s">
        <v>1167</v>
      </c>
      <c r="M7" s="1486"/>
      <c r="N7" s="89"/>
      <c r="O7" s="2634"/>
      <c r="P7" s="2635"/>
      <c r="Q7" s="509" t="s">
        <v>265</v>
      </c>
      <c r="R7" s="509" t="s">
        <v>265</v>
      </c>
      <c r="S7" s="509" t="s">
        <v>265</v>
      </c>
      <c r="T7" s="509" t="s">
        <v>265</v>
      </c>
      <c r="U7" s="509" t="s">
        <v>265</v>
      </c>
      <c r="V7" s="509" t="s">
        <v>266</v>
      </c>
      <c r="W7" s="510"/>
      <c r="AD7" s="2634"/>
      <c r="AE7" s="2635"/>
      <c r="AF7" s="509" t="s">
        <v>265</v>
      </c>
      <c r="AG7" s="509" t="s">
        <v>265</v>
      </c>
      <c r="AH7" s="509" t="s">
        <v>265</v>
      </c>
      <c r="AI7" s="509" t="s">
        <v>265</v>
      </c>
      <c r="AJ7" s="509" t="s">
        <v>265</v>
      </c>
      <c r="AK7" s="509" t="s">
        <v>266</v>
      </c>
      <c r="AL7" s="510"/>
      <c r="AQ7" s="83">
        <f>AM7-AL7</f>
        <v>0</v>
      </c>
    </row>
    <row r="8" spans="1:43" ht="12.95" customHeight="1" thickTop="1">
      <c r="A8" s="1486"/>
      <c r="B8" s="1805" t="s">
        <v>1226</v>
      </c>
      <c r="C8" s="1017"/>
      <c r="D8" s="1209"/>
      <c r="E8" s="1209"/>
      <c r="F8" s="1852"/>
      <c r="G8" s="1852"/>
      <c r="H8" s="1852"/>
      <c r="I8" s="1852"/>
      <c r="J8" s="1852"/>
      <c r="K8" s="1852"/>
      <c r="L8" s="1853"/>
      <c r="M8" s="1486"/>
      <c r="N8" s="89"/>
      <c r="O8" s="512" t="s">
        <v>267</v>
      </c>
      <c r="P8" s="513"/>
      <c r="Q8" s="514"/>
      <c r="R8" s="514"/>
      <c r="S8" s="514"/>
      <c r="T8" s="514"/>
      <c r="U8" s="514"/>
      <c r="V8" s="514"/>
      <c r="W8" s="515"/>
      <c r="AD8" s="512" t="s">
        <v>267</v>
      </c>
      <c r="AE8" s="513"/>
      <c r="AF8" s="514"/>
      <c r="AG8" s="514"/>
      <c r="AH8" s="514"/>
      <c r="AI8" s="514"/>
      <c r="AJ8" s="514"/>
      <c r="AK8" s="514"/>
      <c r="AL8" s="515"/>
    </row>
    <row r="9" spans="1:43" ht="12.95" customHeight="1">
      <c r="A9" s="1486"/>
      <c r="B9" s="2062"/>
      <c r="C9" s="1854" t="s">
        <v>1263</v>
      </c>
      <c r="D9" s="1854"/>
      <c r="E9" s="1204"/>
      <c r="F9" s="1855">
        <f t="shared" ref="F9:K15" si="1">IF(OR(Q9="-",Q9=""),"-",ROUNDDOWN(Q9,-6)/1000000)</f>
        <v>15198</v>
      </c>
      <c r="G9" s="1855">
        <f t="shared" si="1"/>
        <v>16570</v>
      </c>
      <c r="H9" s="1855">
        <f t="shared" si="1"/>
        <v>17501</v>
      </c>
      <c r="I9" s="1855">
        <f t="shared" si="1"/>
        <v>18416</v>
      </c>
      <c r="J9" s="1065">
        <f t="shared" si="1"/>
        <v>19877</v>
      </c>
      <c r="K9" s="1856">
        <f>IF(OR(V9="-",V9=""),"-",ROUNDDOWN(V9,-6)/1000000)</f>
        <v>20439</v>
      </c>
      <c r="L9" s="1857">
        <f t="shared" ref="L9:L15" si="2">W9</f>
        <v>2.8261776693988105</v>
      </c>
      <c r="M9" s="1486"/>
      <c r="O9" s="516" t="s">
        <v>268</v>
      </c>
      <c r="P9" s="517"/>
      <c r="Q9" s="518">
        <v>15198700650</v>
      </c>
      <c r="R9" s="519">
        <v>16570553000</v>
      </c>
      <c r="S9" s="520">
        <v>17501581900</v>
      </c>
      <c r="T9" s="520">
        <v>18416832300</v>
      </c>
      <c r="U9" s="520">
        <v>19877864300</v>
      </c>
      <c r="V9" s="520">
        <v>20439648062</v>
      </c>
      <c r="W9" s="521">
        <f t="shared" ref="W9:W15" si="3">IF(V9="","-",IF(ISERROR((V9/U9-1)*100),"-",(V9/U9-1)*100))</f>
        <v>2.8261776693988105</v>
      </c>
      <c r="Y9" s="522"/>
      <c r="AD9" s="516" t="s">
        <v>268</v>
      </c>
      <c r="AE9" s="517"/>
      <c r="AF9" s="518"/>
      <c r="AG9" s="519"/>
      <c r="AH9" s="520"/>
      <c r="AI9" s="520"/>
      <c r="AJ9" s="520"/>
      <c r="AK9" s="520"/>
      <c r="AL9" s="521" t="str">
        <f t="shared" ref="AL9:AL15" si="4">IF(AK9="","-",IF(ISERROR((AK9/AJ9-1)*100),"-",(AK9/AJ9-1)*100))</f>
        <v>-</v>
      </c>
    </row>
    <row r="10" spans="1:43" ht="12.95" customHeight="1">
      <c r="A10" s="1486"/>
      <c r="B10" s="2063"/>
      <c r="C10" s="1017" t="s">
        <v>1264</v>
      </c>
      <c r="D10" s="1017"/>
      <c r="E10" s="1209"/>
      <c r="F10" s="1858">
        <f t="shared" si="1"/>
        <v>15088</v>
      </c>
      <c r="G10" s="1858">
        <f t="shared" si="1"/>
        <v>15721</v>
      </c>
      <c r="H10" s="1858">
        <f t="shared" si="1"/>
        <v>17436</v>
      </c>
      <c r="I10" s="1858">
        <f t="shared" si="1"/>
        <v>18675</v>
      </c>
      <c r="J10" s="1859">
        <f t="shared" si="1"/>
        <v>19970</v>
      </c>
      <c r="K10" s="1859">
        <f t="shared" si="1"/>
        <v>20237</v>
      </c>
      <c r="L10" s="1860">
        <f t="shared" si="2"/>
        <v>1.3360561471272625</v>
      </c>
      <c r="M10" s="1486"/>
      <c r="O10" s="516" t="s">
        <v>269</v>
      </c>
      <c r="P10" s="517"/>
      <c r="Q10" s="518">
        <v>15088679800</v>
      </c>
      <c r="R10" s="519">
        <v>15721015950</v>
      </c>
      <c r="S10" s="520">
        <v>17436939450</v>
      </c>
      <c r="T10" s="520">
        <v>18675750600</v>
      </c>
      <c r="U10" s="520">
        <v>19970688700</v>
      </c>
      <c r="V10" s="520">
        <v>20237508314</v>
      </c>
      <c r="W10" s="521">
        <f t="shared" si="3"/>
        <v>1.3360561471272625</v>
      </c>
      <c r="Y10" s="523"/>
      <c r="AD10" s="516" t="s">
        <v>269</v>
      </c>
      <c r="AE10" s="517"/>
      <c r="AF10" s="518"/>
      <c r="AG10" s="519"/>
      <c r="AH10" s="520"/>
      <c r="AI10" s="520"/>
      <c r="AJ10" s="520"/>
      <c r="AK10" s="520"/>
      <c r="AL10" s="521" t="str">
        <f t="shared" si="4"/>
        <v>-</v>
      </c>
    </row>
    <row r="11" spans="1:43" ht="12.95" customHeight="1">
      <c r="A11" s="1486"/>
      <c r="B11" s="2062"/>
      <c r="C11" s="1854" t="s">
        <v>1265</v>
      </c>
      <c r="D11" s="1854"/>
      <c r="E11" s="1204"/>
      <c r="F11" s="1855">
        <f t="shared" si="1"/>
        <v>23076</v>
      </c>
      <c r="G11" s="1855">
        <f t="shared" si="1"/>
        <v>23985</v>
      </c>
      <c r="H11" s="1855">
        <f t="shared" si="1"/>
        <v>26501</v>
      </c>
      <c r="I11" s="1855">
        <f t="shared" si="1"/>
        <v>30511</v>
      </c>
      <c r="J11" s="1856">
        <f t="shared" si="1"/>
        <v>34856</v>
      </c>
      <c r="K11" s="1856">
        <f t="shared" si="1"/>
        <v>35217</v>
      </c>
      <c r="L11" s="1857">
        <f>W11</f>
        <v>1.0369195562311972</v>
      </c>
      <c r="M11" s="1486"/>
      <c r="O11" s="516" t="s">
        <v>270</v>
      </c>
      <c r="P11" s="517"/>
      <c r="Q11" s="518">
        <v>23076066600</v>
      </c>
      <c r="R11" s="519">
        <v>23985428200</v>
      </c>
      <c r="S11" s="520">
        <v>26501570400</v>
      </c>
      <c r="T11" s="520">
        <v>30511972600</v>
      </c>
      <c r="U11" s="520">
        <v>34856348000</v>
      </c>
      <c r="V11" s="520">
        <v>35217780289</v>
      </c>
      <c r="W11" s="521">
        <f t="shared" si="3"/>
        <v>1.0369195562311972</v>
      </c>
      <c r="Y11" s="523"/>
      <c r="AD11" s="516" t="s">
        <v>270</v>
      </c>
      <c r="AE11" s="517"/>
      <c r="AF11" s="518"/>
      <c r="AG11" s="519"/>
      <c r="AH11" s="520"/>
      <c r="AI11" s="520"/>
      <c r="AJ11" s="520"/>
      <c r="AK11" s="520"/>
      <c r="AL11" s="521" t="str">
        <f t="shared" si="4"/>
        <v>-</v>
      </c>
    </row>
    <row r="12" spans="1:43" ht="12.95" customHeight="1">
      <c r="A12" s="1486"/>
      <c r="B12" s="2063"/>
      <c r="C12" s="1017" t="s">
        <v>1266</v>
      </c>
      <c r="D12" s="1017"/>
      <c r="E12" s="1209"/>
      <c r="F12" s="1861">
        <f t="shared" si="1"/>
        <v>888</v>
      </c>
      <c r="G12" s="1861">
        <f t="shared" si="1"/>
        <v>1014</v>
      </c>
      <c r="H12" s="1861">
        <f t="shared" si="1"/>
        <v>1098</v>
      </c>
      <c r="I12" s="1861">
        <f t="shared" si="1"/>
        <v>1172</v>
      </c>
      <c r="J12" s="1859">
        <f t="shared" si="1"/>
        <v>1297</v>
      </c>
      <c r="K12" s="1859">
        <f t="shared" si="1"/>
        <v>1418</v>
      </c>
      <c r="L12" s="1860">
        <f t="shared" si="2"/>
        <v>9.381051045946398</v>
      </c>
      <c r="M12" s="1486"/>
      <c r="O12" s="516" t="s">
        <v>182</v>
      </c>
      <c r="P12" s="517"/>
      <c r="Q12" s="518">
        <v>888782300</v>
      </c>
      <c r="R12" s="519">
        <v>1014534500</v>
      </c>
      <c r="S12" s="520">
        <v>1098901000</v>
      </c>
      <c r="T12" s="520">
        <v>1172074500</v>
      </c>
      <c r="U12" s="520">
        <v>1297174500</v>
      </c>
      <c r="V12" s="520">
        <v>1418863102</v>
      </c>
      <c r="W12" s="521">
        <f t="shared" si="3"/>
        <v>9.381051045946398</v>
      </c>
      <c r="Y12" s="523"/>
      <c r="AD12" s="516" t="s">
        <v>182</v>
      </c>
      <c r="AE12" s="517"/>
      <c r="AF12" s="518"/>
      <c r="AG12" s="519"/>
      <c r="AH12" s="520"/>
      <c r="AI12" s="520"/>
      <c r="AJ12" s="520"/>
      <c r="AK12" s="520"/>
      <c r="AL12" s="521" t="str">
        <f t="shared" si="4"/>
        <v>-</v>
      </c>
    </row>
    <row r="13" spans="1:43" ht="12.95" customHeight="1">
      <c r="A13" s="1486"/>
      <c r="B13" s="2062"/>
      <c r="C13" s="1854" t="s">
        <v>1267</v>
      </c>
      <c r="D13" s="1854"/>
      <c r="E13" s="1204"/>
      <c r="F13" s="1855">
        <f t="shared" si="1"/>
        <v>1491</v>
      </c>
      <c r="G13" s="1855">
        <f t="shared" si="1"/>
        <v>2659</v>
      </c>
      <c r="H13" s="1855">
        <f t="shared" si="1"/>
        <v>2530</v>
      </c>
      <c r="I13" s="1855">
        <f t="shared" si="1"/>
        <v>2375</v>
      </c>
      <c r="J13" s="1856">
        <f t="shared" si="1"/>
        <v>2335</v>
      </c>
      <c r="K13" s="1856">
        <f t="shared" si="1"/>
        <v>2252</v>
      </c>
      <c r="L13" s="1857">
        <f t="shared" si="2"/>
        <v>-3.5797217713195217</v>
      </c>
      <c r="M13" s="1486"/>
      <c r="O13" s="516" t="s">
        <v>271</v>
      </c>
      <c r="P13" s="517"/>
      <c r="Q13" s="518">
        <v>1491812493</v>
      </c>
      <c r="R13" s="519">
        <v>2659016672</v>
      </c>
      <c r="S13" s="520">
        <v>2530079965</v>
      </c>
      <c r="T13" s="520">
        <v>2375216867</v>
      </c>
      <c r="U13" s="520">
        <v>2335752730</v>
      </c>
      <c r="V13" s="520">
        <v>2252139281</v>
      </c>
      <c r="W13" s="521">
        <f t="shared" si="3"/>
        <v>-3.5797217713195217</v>
      </c>
      <c r="Y13" s="523" t="s">
        <v>425</v>
      </c>
      <c r="AD13" s="516" t="s">
        <v>271</v>
      </c>
      <c r="AE13" s="517"/>
      <c r="AF13" s="518"/>
      <c r="AG13" s="519"/>
      <c r="AH13" s="520"/>
      <c r="AI13" s="520"/>
      <c r="AJ13" s="520"/>
      <c r="AK13" s="520"/>
      <c r="AL13" s="521" t="str">
        <f t="shared" si="4"/>
        <v>-</v>
      </c>
    </row>
    <row r="14" spans="1:43" ht="12.95" customHeight="1">
      <c r="A14" s="1486"/>
      <c r="B14" s="2063"/>
      <c r="C14" s="1017" t="s">
        <v>1268</v>
      </c>
      <c r="D14" s="1017"/>
      <c r="E14" s="1209"/>
      <c r="F14" s="1858">
        <f t="shared" si="1"/>
        <v>9113</v>
      </c>
      <c r="G14" s="1858">
        <f t="shared" si="1"/>
        <v>9354</v>
      </c>
      <c r="H14" s="1858">
        <f t="shared" si="1"/>
        <v>9997</v>
      </c>
      <c r="I14" s="1858">
        <f t="shared" si="1"/>
        <v>10691</v>
      </c>
      <c r="J14" s="1859">
        <f t="shared" si="1"/>
        <v>11364</v>
      </c>
      <c r="K14" s="1859">
        <f t="shared" si="1"/>
        <v>13444</v>
      </c>
      <c r="L14" s="1860">
        <f t="shared" si="2"/>
        <v>18.305655163838352</v>
      </c>
      <c r="M14" s="1486"/>
      <c r="O14" s="516" t="s">
        <v>272</v>
      </c>
      <c r="P14" s="517"/>
      <c r="Q14" s="524">
        <v>9113992328</v>
      </c>
      <c r="R14" s="519">
        <v>9354403060</v>
      </c>
      <c r="S14" s="520">
        <v>9997754384</v>
      </c>
      <c r="T14" s="520">
        <v>10691760214</v>
      </c>
      <c r="U14" s="520">
        <v>11364617160</v>
      </c>
      <c r="V14" s="520">
        <v>13444984788</v>
      </c>
      <c r="W14" s="521">
        <f t="shared" si="3"/>
        <v>18.305655163838352</v>
      </c>
      <c r="Y14" s="523" t="s">
        <v>1521</v>
      </c>
      <c r="AD14" s="516" t="s">
        <v>272</v>
      </c>
      <c r="AE14" s="517"/>
      <c r="AF14" s="524"/>
      <c r="AG14" s="519"/>
      <c r="AH14" s="520"/>
      <c r="AI14" s="520"/>
      <c r="AJ14" s="520"/>
      <c r="AK14" s="520"/>
      <c r="AL14" s="521" t="str">
        <f t="shared" si="4"/>
        <v>-</v>
      </c>
    </row>
    <row r="15" spans="1:43" ht="12.95" customHeight="1">
      <c r="A15" s="1486"/>
      <c r="B15" s="1862" t="s">
        <v>1269</v>
      </c>
      <c r="C15" s="1862"/>
      <c r="D15" s="1291"/>
      <c r="E15" s="1291"/>
      <c r="F15" s="1863">
        <f t="shared" si="1"/>
        <v>64858</v>
      </c>
      <c r="G15" s="1863">
        <f t="shared" si="1"/>
        <v>69304</v>
      </c>
      <c r="H15" s="1863">
        <f t="shared" si="1"/>
        <v>75066</v>
      </c>
      <c r="I15" s="1863">
        <f t="shared" si="1"/>
        <v>81843</v>
      </c>
      <c r="J15" s="1864">
        <f t="shared" si="1"/>
        <v>89702</v>
      </c>
      <c r="K15" s="1864">
        <f t="shared" si="1"/>
        <v>93010</v>
      </c>
      <c r="L15" s="1865">
        <f t="shared" si="2"/>
        <v>3.6882812186620928</v>
      </c>
      <c r="M15" s="1486"/>
      <c r="O15" s="516"/>
      <c r="P15" s="517" t="s">
        <v>273</v>
      </c>
      <c r="Q15" s="518">
        <v>64858034171</v>
      </c>
      <c r="R15" s="519">
        <v>69304951382</v>
      </c>
      <c r="S15" s="520">
        <v>75066827099</v>
      </c>
      <c r="T15" s="520">
        <v>81843607081</v>
      </c>
      <c r="U15" s="520">
        <v>89702445390</v>
      </c>
      <c r="V15" s="520">
        <v>93010923836</v>
      </c>
      <c r="W15" s="521">
        <f t="shared" si="3"/>
        <v>3.6882812186620928</v>
      </c>
      <c r="Y15" s="523" t="s">
        <v>424</v>
      </c>
      <c r="AD15" s="516"/>
      <c r="AE15" s="517" t="s">
        <v>273</v>
      </c>
      <c r="AF15" s="518"/>
      <c r="AG15" s="519"/>
      <c r="AH15" s="520"/>
      <c r="AI15" s="520"/>
      <c r="AJ15" s="520"/>
      <c r="AK15" s="520"/>
      <c r="AL15" s="521" t="str">
        <f t="shared" si="4"/>
        <v>-</v>
      </c>
    </row>
    <row r="16" spans="1:43" ht="12.95" customHeight="1">
      <c r="A16" s="1486"/>
      <c r="B16" s="1805" t="s">
        <v>1381</v>
      </c>
      <c r="C16" s="1017"/>
      <c r="D16" s="1209"/>
      <c r="E16" s="1866"/>
      <c r="F16" s="1858"/>
      <c r="G16" s="1858"/>
      <c r="H16" s="1858"/>
      <c r="I16" s="1858"/>
      <c r="J16" s="1859"/>
      <c r="K16" s="1859"/>
      <c r="L16" s="1860"/>
      <c r="M16" s="1486"/>
      <c r="O16" s="516" t="s">
        <v>274</v>
      </c>
      <c r="P16" s="2059"/>
      <c r="Q16" s="525"/>
      <c r="R16" s="526"/>
      <c r="S16" s="527"/>
      <c r="T16" s="520"/>
      <c r="U16" s="520"/>
      <c r="V16" s="520"/>
      <c r="W16" s="528"/>
      <c r="Y16" s="523"/>
      <c r="AD16" s="516" t="s">
        <v>274</v>
      </c>
      <c r="AE16" s="2059"/>
      <c r="AF16" s="525"/>
      <c r="AG16" s="526"/>
      <c r="AH16" s="527"/>
      <c r="AI16" s="520"/>
      <c r="AJ16" s="520"/>
      <c r="AK16" s="520"/>
      <c r="AL16" s="528"/>
    </row>
    <row r="17" spans="1:38" ht="12.95" customHeight="1">
      <c r="A17" s="1486"/>
      <c r="B17" s="2062"/>
      <c r="C17" s="1854" t="s">
        <v>1382</v>
      </c>
      <c r="D17" s="1854"/>
      <c r="E17" s="1867"/>
      <c r="F17" s="1855">
        <f t="shared" ref="F17:K19" si="5">IF(OR(Q17="-",Q17=""),"-",ROUNDDOWN(Q17,-6)/1000000)</f>
        <v>5296</v>
      </c>
      <c r="G17" s="1855">
        <f t="shared" si="5"/>
        <v>6187</v>
      </c>
      <c r="H17" s="1855">
        <f t="shared" si="5"/>
        <v>6865</v>
      </c>
      <c r="I17" s="1855">
        <f t="shared" si="5"/>
        <v>7307</v>
      </c>
      <c r="J17" s="1856">
        <f t="shared" si="5"/>
        <v>7432</v>
      </c>
      <c r="K17" s="1856">
        <f t="shared" si="5"/>
        <v>7678</v>
      </c>
      <c r="L17" s="1857">
        <f>W17</f>
        <v>3.3149155034402966</v>
      </c>
      <c r="M17" s="1486"/>
      <c r="O17" s="516" t="s">
        <v>275</v>
      </c>
      <c r="P17" s="517"/>
      <c r="Q17" s="524">
        <v>5296471205</v>
      </c>
      <c r="R17" s="519">
        <v>6187600850</v>
      </c>
      <c r="S17" s="520">
        <v>6865138452</v>
      </c>
      <c r="T17" s="520">
        <v>7307135702</v>
      </c>
      <c r="U17" s="520">
        <v>7432353366</v>
      </c>
      <c r="V17" s="520">
        <v>7678729600</v>
      </c>
      <c r="W17" s="521">
        <f>IF(V17="","-",IF(ISERROR((V17/U17-1)*100),"-",(V17/U17-1)*100))</f>
        <v>3.3149155034402966</v>
      </c>
      <c r="Y17" s="523"/>
      <c r="AD17" s="516" t="s">
        <v>275</v>
      </c>
      <c r="AE17" s="517"/>
      <c r="AF17" s="524"/>
      <c r="AG17" s="519"/>
      <c r="AH17" s="520"/>
      <c r="AI17" s="520"/>
      <c r="AJ17" s="520"/>
      <c r="AK17" s="520"/>
      <c r="AL17" s="521" t="str">
        <f>IF(AK17="","-",IF(ISERROR((AK17/AJ17-1)*100),"-",(AK17/AJ17-1)*100))</f>
        <v>-</v>
      </c>
    </row>
    <row r="18" spans="1:38" ht="12.95" customHeight="1">
      <c r="A18" s="1486"/>
      <c r="B18" s="2063"/>
      <c r="C18" s="1017" t="s">
        <v>1383</v>
      </c>
      <c r="D18" s="1017"/>
      <c r="E18" s="1866"/>
      <c r="F18" s="1858">
        <f t="shared" si="5"/>
        <v>4004</v>
      </c>
      <c r="G18" s="1858">
        <f t="shared" si="5"/>
        <v>4204</v>
      </c>
      <c r="H18" s="1858">
        <f t="shared" si="5"/>
        <v>4566</v>
      </c>
      <c r="I18" s="1858">
        <f t="shared" si="5"/>
        <v>5344</v>
      </c>
      <c r="J18" s="1859">
        <f t="shared" si="5"/>
        <v>5038</v>
      </c>
      <c r="K18" s="1859">
        <f t="shared" si="5"/>
        <v>5398</v>
      </c>
      <c r="L18" s="1860">
        <f>W18</f>
        <v>7.1409007523735468</v>
      </c>
      <c r="M18" s="1486"/>
      <c r="O18" s="516" t="s">
        <v>276</v>
      </c>
      <c r="P18" s="517"/>
      <c r="Q18" s="524">
        <v>4004237895</v>
      </c>
      <c r="R18" s="519">
        <v>4204016679</v>
      </c>
      <c r="S18" s="520">
        <v>4566661444</v>
      </c>
      <c r="T18" s="520">
        <v>5344304058</v>
      </c>
      <c r="U18" s="520">
        <v>5038506268</v>
      </c>
      <c r="V18" s="520">
        <v>5398301000</v>
      </c>
      <c r="W18" s="521">
        <f>IF(V18="","-",IF(ISERROR((V18/U18-1)*100),"-",(V18/U18-1)*100))</f>
        <v>7.1409007523735468</v>
      </c>
      <c r="X18" s="83" t="s">
        <v>249</v>
      </c>
      <c r="Y18" s="523"/>
      <c r="Z18" s="83" t="s">
        <v>439</v>
      </c>
      <c r="AD18" s="516" t="s">
        <v>276</v>
      </c>
      <c r="AE18" s="517"/>
      <c r="AF18" s="524"/>
      <c r="AG18" s="519"/>
      <c r="AH18" s="520"/>
      <c r="AI18" s="520"/>
      <c r="AJ18" s="520"/>
      <c r="AK18" s="520"/>
      <c r="AL18" s="521" t="str">
        <f>IF(AK18="","-",IF(ISERROR((AK18/AJ18-1)*100),"-",(AK18/AJ18-1)*100))</f>
        <v>-</v>
      </c>
    </row>
    <row r="19" spans="1:38" ht="12.95" customHeight="1">
      <c r="A19" s="1486"/>
      <c r="B19" s="2064" t="s">
        <v>1384</v>
      </c>
      <c r="C19" s="1862"/>
      <c r="D19" s="1291"/>
      <c r="E19" s="1868"/>
      <c r="F19" s="1863">
        <f t="shared" si="5"/>
        <v>9300</v>
      </c>
      <c r="G19" s="1863">
        <f t="shared" si="5"/>
        <v>10391</v>
      </c>
      <c r="H19" s="1863">
        <f t="shared" si="5"/>
        <v>11431</v>
      </c>
      <c r="I19" s="1863">
        <f t="shared" si="5"/>
        <v>12651</v>
      </c>
      <c r="J19" s="1864">
        <f t="shared" si="5"/>
        <v>12470</v>
      </c>
      <c r="K19" s="1864">
        <f t="shared" si="5"/>
        <v>13077</v>
      </c>
      <c r="L19" s="1865">
        <f>W19</f>
        <v>4.8606991321381132</v>
      </c>
      <c r="M19" s="1486"/>
      <c r="O19" s="529"/>
      <c r="P19" s="530" t="s">
        <v>277</v>
      </c>
      <c r="Q19" s="531">
        <v>9300709100</v>
      </c>
      <c r="R19" s="532">
        <v>10391617529</v>
      </c>
      <c r="S19" s="533">
        <v>11431799896</v>
      </c>
      <c r="T19" s="533">
        <v>12651439760</v>
      </c>
      <c r="U19" s="533">
        <v>12470859634</v>
      </c>
      <c r="V19" s="533">
        <v>13077030600</v>
      </c>
      <c r="W19" s="521">
        <f>IF(V19="","-",IF(ISERROR((V19/U19-1)*100),"-",(V19/U19-1)*100))</f>
        <v>4.8606991321381132</v>
      </c>
      <c r="Y19" s="523"/>
      <c r="AD19" s="529"/>
      <c r="AE19" s="530" t="s">
        <v>277</v>
      </c>
      <c r="AF19" s="531"/>
      <c r="AG19" s="532"/>
      <c r="AH19" s="533"/>
      <c r="AI19" s="533"/>
      <c r="AJ19" s="533"/>
      <c r="AK19" s="533"/>
      <c r="AL19" s="521" t="str">
        <f>IF(AK19="","-",IF(ISERROR((AK19/AJ19-1)*100),"-",(AK19/AJ19-1)*100))</f>
        <v>-</v>
      </c>
    </row>
    <row r="20" spans="1:38" ht="12.95" customHeight="1">
      <c r="A20" s="1486"/>
      <c r="B20" s="1806" t="s">
        <v>1270</v>
      </c>
      <c r="C20" s="1017"/>
      <c r="D20" s="1017"/>
      <c r="E20" s="1869"/>
      <c r="F20" s="1858"/>
      <c r="G20" s="1858"/>
      <c r="H20" s="1858"/>
      <c r="I20" s="1858"/>
      <c r="J20" s="1859"/>
      <c r="K20" s="1859"/>
      <c r="L20" s="1860"/>
      <c r="M20" s="1486"/>
      <c r="O20" s="534" t="s">
        <v>1172</v>
      </c>
      <c r="P20" s="535"/>
      <c r="Q20" s="536"/>
      <c r="R20" s="526"/>
      <c r="S20" s="537"/>
      <c r="T20" s="538"/>
      <c r="U20" s="538"/>
      <c r="V20" s="538"/>
      <c r="W20" s="539"/>
      <c r="Y20" s="523"/>
      <c r="AD20" s="534" t="s">
        <v>1172</v>
      </c>
      <c r="AE20" s="535"/>
      <c r="AF20" s="536"/>
      <c r="AG20" s="526"/>
      <c r="AH20" s="537"/>
      <c r="AI20" s="538"/>
      <c r="AJ20" s="538"/>
      <c r="AK20" s="538"/>
      <c r="AL20" s="539"/>
    </row>
    <row r="21" spans="1:38" ht="12.95" customHeight="1">
      <c r="A21" s="1486"/>
      <c r="B21" s="2062"/>
      <c r="C21" s="1854" t="s">
        <v>1271</v>
      </c>
      <c r="D21" s="1854"/>
      <c r="E21" s="1870"/>
      <c r="F21" s="1871">
        <f t="shared" ref="F21:K25" si="6">IF(OR(Q21="-",Q21=""),"-",ROUNDDOWN(Q21,-6)/1000000)</f>
        <v>5352</v>
      </c>
      <c r="G21" s="1871">
        <f t="shared" si="6"/>
        <v>5056</v>
      </c>
      <c r="H21" s="1871">
        <f t="shared" si="6"/>
        <v>5345</v>
      </c>
      <c r="I21" s="1855">
        <f t="shared" si="6"/>
        <v>5362</v>
      </c>
      <c r="J21" s="1856">
        <f t="shared" si="6"/>
        <v>5957</v>
      </c>
      <c r="K21" s="1856">
        <f t="shared" si="6"/>
        <v>6008</v>
      </c>
      <c r="L21" s="1857">
        <f>W21</f>
        <v>0.84652765881516601</v>
      </c>
      <c r="M21" s="1486"/>
      <c r="O21" s="540" t="s">
        <v>1173</v>
      </c>
      <c r="P21" s="517"/>
      <c r="Q21" s="541">
        <v>5352942505</v>
      </c>
      <c r="R21" s="542">
        <v>5056573563</v>
      </c>
      <c r="S21" s="543">
        <v>5345273032</v>
      </c>
      <c r="T21" s="520">
        <v>5362596174</v>
      </c>
      <c r="U21" s="520">
        <v>5957952286</v>
      </c>
      <c r="V21" s="520">
        <v>6008388000</v>
      </c>
      <c r="W21" s="521">
        <f>IF(V21="","-",IF(ISERROR((V21/U21-1)*100),"-",(V21/U21-1)*100))</f>
        <v>0.84652765881516601</v>
      </c>
      <c r="Y21" s="523"/>
      <c r="AD21" s="540" t="s">
        <v>1173</v>
      </c>
      <c r="AE21" s="517"/>
      <c r="AF21" s="541"/>
      <c r="AG21" s="542"/>
      <c r="AH21" s="543"/>
      <c r="AI21" s="520"/>
      <c r="AJ21" s="520"/>
      <c r="AK21" s="520"/>
      <c r="AL21" s="521" t="str">
        <f>IF(AK21="","-",IF(ISERROR((AK21/AJ21-1)*100),"-",(AK21/AJ21-1)*100))</f>
        <v>-</v>
      </c>
    </row>
    <row r="22" spans="1:38" ht="12.95" customHeight="1">
      <c r="A22" s="1486"/>
      <c r="B22" s="2063"/>
      <c r="C22" s="1872" t="s">
        <v>1385</v>
      </c>
      <c r="D22" s="1017"/>
      <c r="E22" s="1869"/>
      <c r="F22" s="1861">
        <f t="shared" si="6"/>
        <v>1885</v>
      </c>
      <c r="G22" s="1861">
        <f t="shared" si="6"/>
        <v>3925</v>
      </c>
      <c r="H22" s="1861">
        <f t="shared" si="6"/>
        <v>5181</v>
      </c>
      <c r="I22" s="1861">
        <f t="shared" si="6"/>
        <v>3044</v>
      </c>
      <c r="J22" s="1859">
        <f t="shared" si="6"/>
        <v>4334</v>
      </c>
      <c r="K22" s="1859">
        <f t="shared" si="6"/>
        <v>6000</v>
      </c>
      <c r="L22" s="1860">
        <f>W22</f>
        <v>38.434508154779692</v>
      </c>
      <c r="M22" s="1486"/>
      <c r="O22" s="540" t="s">
        <v>1174</v>
      </c>
      <c r="P22" s="517"/>
      <c r="Q22" s="541">
        <v>1885300129</v>
      </c>
      <c r="R22" s="542">
        <v>3925742491</v>
      </c>
      <c r="S22" s="544">
        <v>5181627825</v>
      </c>
      <c r="T22" s="545">
        <v>3044894340</v>
      </c>
      <c r="U22" s="545">
        <v>4334179447</v>
      </c>
      <c r="V22" s="545">
        <v>6000000000</v>
      </c>
      <c r="W22" s="546">
        <f>IF(V22="","-",IF(ISERROR((V22/U22-1)*100),"-",(V22/U22-1)*100))</f>
        <v>38.434508154779692</v>
      </c>
      <c r="Y22" s="523"/>
      <c r="AD22" s="540" t="s">
        <v>1174</v>
      </c>
      <c r="AE22" s="517"/>
      <c r="AF22" s="541"/>
      <c r="AG22" s="542"/>
      <c r="AH22" s="544"/>
      <c r="AI22" s="545"/>
      <c r="AJ22" s="545"/>
      <c r="AK22" s="545"/>
      <c r="AL22" s="546" t="str">
        <f>IF(AK22="","-",IF(ISERROR((AK22/AJ22-1)*100),"-",(AK22/AJ22-1)*100))</f>
        <v>-</v>
      </c>
    </row>
    <row r="23" spans="1:38" ht="12.95" hidden="1" customHeight="1" outlineLevel="1">
      <c r="A23" s="1486"/>
      <c r="B23" s="2062"/>
      <c r="C23" s="1854" t="s">
        <v>1272</v>
      </c>
      <c r="D23" s="1854"/>
      <c r="E23" s="1870"/>
      <c r="F23" s="1871" t="str">
        <f t="shared" si="6"/>
        <v>-</v>
      </c>
      <c r="G23" s="1871" t="str">
        <f t="shared" si="6"/>
        <v>-</v>
      </c>
      <c r="H23" s="1871" t="str">
        <f t="shared" si="6"/>
        <v>-</v>
      </c>
      <c r="I23" s="1871" t="str">
        <f t="shared" si="6"/>
        <v>-</v>
      </c>
      <c r="J23" s="1856" t="str">
        <f t="shared" si="6"/>
        <v>-</v>
      </c>
      <c r="K23" s="1856" t="str">
        <f t="shared" si="6"/>
        <v>-</v>
      </c>
      <c r="L23" s="1857" t="str">
        <f>W23</f>
        <v>-</v>
      </c>
      <c r="M23" s="1486"/>
      <c r="O23" s="540" t="s">
        <v>179</v>
      </c>
      <c r="P23" s="517"/>
      <c r="Q23" s="541" t="s">
        <v>340</v>
      </c>
      <c r="R23" s="542"/>
      <c r="S23" s="543"/>
      <c r="T23" s="520"/>
      <c r="U23" s="545"/>
      <c r="V23" s="545"/>
      <c r="W23" s="521" t="str">
        <f>IF(V23="","-",IF(ISERROR((V23/U23-1)*100),"-",(V23/U23-1)*100))</f>
        <v>-</v>
      </c>
      <c r="Y23" s="523"/>
      <c r="AD23" s="540" t="s">
        <v>179</v>
      </c>
      <c r="AE23" s="517"/>
      <c r="AF23" s="541"/>
      <c r="AG23" s="542"/>
      <c r="AH23" s="543"/>
      <c r="AI23" s="520"/>
      <c r="AJ23" s="545"/>
      <c r="AK23" s="545"/>
      <c r="AL23" s="521" t="str">
        <f>IF(AK23="","-",IF(ISERROR((AK23/AJ23-1)*100),"-",(AK23/AJ23-1)*100))</f>
        <v>-</v>
      </c>
    </row>
    <row r="24" spans="1:38" ht="12.95" hidden="1" customHeight="1" outlineLevel="1">
      <c r="A24" s="1486"/>
      <c r="B24" s="2063"/>
      <c r="C24" s="1017" t="s">
        <v>1273</v>
      </c>
      <c r="D24" s="1017"/>
      <c r="E24" s="1017"/>
      <c r="F24" s="1861">
        <f t="shared" si="6"/>
        <v>85</v>
      </c>
      <c r="G24" s="1861" t="str">
        <f t="shared" si="6"/>
        <v>-</v>
      </c>
      <c r="H24" s="1861" t="str">
        <f t="shared" si="6"/>
        <v>-</v>
      </c>
      <c r="I24" s="1861" t="str">
        <f t="shared" si="6"/>
        <v>-</v>
      </c>
      <c r="J24" s="1859" t="str">
        <f t="shared" si="6"/>
        <v>-</v>
      </c>
      <c r="K24" s="1859" t="str">
        <f t="shared" si="6"/>
        <v>-</v>
      </c>
      <c r="L24" s="1860" t="str">
        <f>W24</f>
        <v>-</v>
      </c>
      <c r="M24" s="1486"/>
      <c r="O24" s="547" t="s">
        <v>362</v>
      </c>
      <c r="P24" s="548"/>
      <c r="Q24" s="549">
        <v>85531129</v>
      </c>
      <c r="R24" s="550"/>
      <c r="S24" s="551"/>
      <c r="T24" s="552"/>
      <c r="U24" s="552"/>
      <c r="V24" s="552"/>
      <c r="W24" s="553" t="str">
        <f>IF(V24="","-",IF(ISERROR((V24/U24-1)*100),"-",(V24/U24-1)*100))</f>
        <v>-</v>
      </c>
      <c r="Y24" s="554"/>
      <c r="AD24" s="547" t="s">
        <v>362</v>
      </c>
      <c r="AE24" s="548"/>
      <c r="AF24" s="549"/>
      <c r="AG24" s="550"/>
      <c r="AH24" s="551"/>
      <c r="AI24" s="552"/>
      <c r="AJ24" s="552"/>
      <c r="AK24" s="552"/>
      <c r="AL24" s="553" t="str">
        <f>IF(AK24="","-",IF(ISERROR((AK24/AJ24-1)*100),"-",(AK24/AJ24-1)*100))</f>
        <v>-</v>
      </c>
    </row>
    <row r="25" spans="1:38" ht="12.95" customHeight="1" collapsed="1">
      <c r="A25" s="1509"/>
      <c r="B25" s="2064" t="s">
        <v>1274</v>
      </c>
      <c r="C25" s="1862"/>
      <c r="D25" s="1862"/>
      <c r="E25" s="1873"/>
      <c r="F25" s="1874">
        <f t="shared" si="6"/>
        <v>7238</v>
      </c>
      <c r="G25" s="1874">
        <f t="shared" si="6"/>
        <v>8982</v>
      </c>
      <c r="H25" s="1874">
        <f t="shared" si="6"/>
        <v>10526</v>
      </c>
      <c r="I25" s="1863">
        <f t="shared" si="6"/>
        <v>8407</v>
      </c>
      <c r="J25" s="1874">
        <f t="shared" si="6"/>
        <v>10292</v>
      </c>
      <c r="K25" s="1874">
        <f t="shared" si="6"/>
        <v>12008</v>
      </c>
      <c r="L25" s="1865">
        <f>W25</f>
        <v>16.675420714807899</v>
      </c>
      <c r="M25" s="1486"/>
      <c r="O25" s="555" t="s">
        <v>1175</v>
      </c>
      <c r="P25" s="530"/>
      <c r="Q25" s="556">
        <v>7238242634</v>
      </c>
      <c r="R25" s="556">
        <v>8982316054</v>
      </c>
      <c r="S25" s="556">
        <v>10526900857</v>
      </c>
      <c r="T25" s="533">
        <v>8407490514</v>
      </c>
      <c r="U25" s="533">
        <v>10292131733</v>
      </c>
      <c r="V25" s="533">
        <v>12008388000</v>
      </c>
      <c r="W25" s="553">
        <f>IF(V25="","-",IF(ISERROR((V25/U25-1)*100),"-",(V25/U25-1)*100))</f>
        <v>16.675420714807899</v>
      </c>
      <c r="Y25" s="523"/>
      <c r="AD25" s="555" t="s">
        <v>1175</v>
      </c>
      <c r="AE25" s="530"/>
      <c r="AF25" s="556"/>
      <c r="AG25" s="556"/>
      <c r="AH25" s="556"/>
      <c r="AI25" s="533"/>
      <c r="AJ25" s="533"/>
      <c r="AK25" s="533"/>
      <c r="AL25" s="553" t="str">
        <f>IF(AK25="","-",IF(ISERROR((AK25/AJ25-1)*100),"-",(AK25/AJ25-1)*100))</f>
        <v>-</v>
      </c>
    </row>
    <row r="26" spans="1:38" ht="12.95" customHeight="1">
      <c r="A26" s="1486"/>
      <c r="B26" s="1806" t="s">
        <v>1227</v>
      </c>
      <c r="C26" s="1017"/>
      <c r="D26" s="1017"/>
      <c r="E26" s="1869"/>
      <c r="F26" s="1858"/>
      <c r="G26" s="1858"/>
      <c r="H26" s="1858"/>
      <c r="I26" s="1858"/>
      <c r="J26" s="1859"/>
      <c r="K26" s="1859"/>
      <c r="L26" s="1860"/>
      <c r="M26" s="1486"/>
      <c r="O26" s="534" t="s">
        <v>278</v>
      </c>
      <c r="P26" s="535"/>
      <c r="Q26" s="536"/>
      <c r="R26" s="526"/>
      <c r="S26" s="537"/>
      <c r="T26" s="538"/>
      <c r="U26" s="538"/>
      <c r="V26" s="538"/>
      <c r="W26" s="539"/>
      <c r="Y26" s="523"/>
      <c r="AD26" s="534" t="s">
        <v>278</v>
      </c>
      <c r="AE26" s="535"/>
      <c r="AF26" s="536"/>
      <c r="AG26" s="526"/>
      <c r="AH26" s="537"/>
      <c r="AI26" s="538"/>
      <c r="AJ26" s="538"/>
      <c r="AK26" s="538"/>
      <c r="AL26" s="539"/>
    </row>
    <row r="27" spans="1:38" ht="12.95" hidden="1" customHeight="1" outlineLevel="1">
      <c r="A27" s="1486"/>
      <c r="B27" s="2062"/>
      <c r="C27" s="1854" t="s">
        <v>1275</v>
      </c>
      <c r="D27" s="1854"/>
      <c r="E27" s="1870"/>
      <c r="F27" s="1871">
        <f t="shared" ref="F27:K35" si="7">IF(OR(Q27="-",Q27=""),"-",ROUNDDOWN(Q27,-6)/1000000)</f>
        <v>7238</v>
      </c>
      <c r="G27" s="1871" t="str">
        <f t="shared" si="7"/>
        <v>-</v>
      </c>
      <c r="H27" s="1871" t="str">
        <f t="shared" si="7"/>
        <v>-</v>
      </c>
      <c r="I27" s="1855" t="str">
        <f t="shared" si="7"/>
        <v>-</v>
      </c>
      <c r="J27" s="1856" t="str">
        <f t="shared" si="7"/>
        <v>-</v>
      </c>
      <c r="K27" s="1856" t="str">
        <f t="shared" si="7"/>
        <v>-</v>
      </c>
      <c r="L27" s="1857" t="str">
        <f t="shared" ref="L27:L35" si="8">W27</f>
        <v>-</v>
      </c>
      <c r="M27" s="1486"/>
      <c r="O27" s="540" t="s">
        <v>279</v>
      </c>
      <c r="P27" s="517"/>
      <c r="Q27" s="541">
        <v>7238242634</v>
      </c>
      <c r="R27" s="542"/>
      <c r="S27" s="543"/>
      <c r="T27" s="520"/>
      <c r="U27" s="520"/>
      <c r="V27" s="520"/>
      <c r="W27" s="521" t="str">
        <f t="shared" ref="W27:W35" si="9">IF(V27="","-",IF(ISERROR((V27/U27-1)*100),"-",(V27/U27-1)*100))</f>
        <v>-</v>
      </c>
      <c r="Y27" s="523"/>
      <c r="AD27" s="540" t="s">
        <v>279</v>
      </c>
      <c r="AE27" s="517"/>
      <c r="AF27" s="541"/>
      <c r="AG27" s="542"/>
      <c r="AH27" s="543"/>
      <c r="AI27" s="520"/>
      <c r="AJ27" s="520"/>
      <c r="AK27" s="520"/>
      <c r="AL27" s="521" t="str">
        <f t="shared" ref="AL27:AL35" si="10">IF(AK27="","-",IF(ISERROR((AK27/AJ27-1)*100),"-",(AK27/AJ27-1)*100))</f>
        <v>-</v>
      </c>
    </row>
    <row r="28" spans="1:38" ht="12.95" hidden="1" customHeight="1" outlineLevel="1">
      <c r="A28" s="1486"/>
      <c r="B28" s="2063"/>
      <c r="C28" s="1017" t="s">
        <v>1276</v>
      </c>
      <c r="D28" s="1017"/>
      <c r="E28" s="1869"/>
      <c r="F28" s="1861" t="str">
        <f t="shared" si="7"/>
        <v>-</v>
      </c>
      <c r="G28" s="1861" t="str">
        <f t="shared" si="7"/>
        <v>-</v>
      </c>
      <c r="H28" s="1861" t="str">
        <f t="shared" si="7"/>
        <v>-</v>
      </c>
      <c r="I28" s="1861" t="str">
        <f t="shared" si="7"/>
        <v>-</v>
      </c>
      <c r="J28" s="1859" t="str">
        <f t="shared" si="7"/>
        <v>-</v>
      </c>
      <c r="K28" s="1859" t="str">
        <f t="shared" si="7"/>
        <v>-</v>
      </c>
      <c r="L28" s="1860" t="str">
        <f t="shared" si="8"/>
        <v>-</v>
      </c>
      <c r="M28" s="1486"/>
      <c r="O28" s="540" t="s">
        <v>280</v>
      </c>
      <c r="P28" s="517"/>
      <c r="Q28" s="541" t="s">
        <v>340</v>
      </c>
      <c r="R28" s="542"/>
      <c r="S28" s="544"/>
      <c r="T28" s="545"/>
      <c r="U28" s="545"/>
      <c r="V28" s="545"/>
      <c r="W28" s="546" t="str">
        <f t="shared" si="9"/>
        <v>-</v>
      </c>
      <c r="Y28" s="523" t="s">
        <v>426</v>
      </c>
      <c r="AD28" s="540" t="s">
        <v>280</v>
      </c>
      <c r="AE28" s="517"/>
      <c r="AF28" s="541"/>
      <c r="AG28" s="542"/>
      <c r="AH28" s="544"/>
      <c r="AI28" s="545"/>
      <c r="AJ28" s="545"/>
      <c r="AK28" s="545"/>
      <c r="AL28" s="546" t="str">
        <f t="shared" si="10"/>
        <v>-</v>
      </c>
    </row>
    <row r="29" spans="1:38" ht="12.95" hidden="1" customHeight="1" outlineLevel="1">
      <c r="A29" s="1486"/>
      <c r="B29" s="2062"/>
      <c r="C29" s="1854" t="s">
        <v>1272</v>
      </c>
      <c r="D29" s="1854"/>
      <c r="E29" s="1870"/>
      <c r="F29" s="1871" t="str">
        <f t="shared" si="7"/>
        <v>-</v>
      </c>
      <c r="G29" s="1871" t="str">
        <f t="shared" si="7"/>
        <v>-</v>
      </c>
      <c r="H29" s="1871" t="str">
        <f t="shared" si="7"/>
        <v>-</v>
      </c>
      <c r="I29" s="1871" t="str">
        <f t="shared" si="7"/>
        <v>-</v>
      </c>
      <c r="J29" s="1856" t="str">
        <f t="shared" si="7"/>
        <v>-</v>
      </c>
      <c r="K29" s="1856" t="str">
        <f t="shared" si="7"/>
        <v>-</v>
      </c>
      <c r="L29" s="1857" t="str">
        <f t="shared" si="8"/>
        <v>-</v>
      </c>
      <c r="M29" s="1486"/>
      <c r="O29" s="540" t="s">
        <v>179</v>
      </c>
      <c r="P29" s="517"/>
      <c r="Q29" s="541" t="s">
        <v>340</v>
      </c>
      <c r="R29" s="542"/>
      <c r="S29" s="543"/>
      <c r="T29" s="520"/>
      <c r="U29" s="545"/>
      <c r="V29" s="545"/>
      <c r="W29" s="521" t="str">
        <f t="shared" si="9"/>
        <v>-</v>
      </c>
      <c r="Y29" s="523"/>
      <c r="AD29" s="540" t="s">
        <v>179</v>
      </c>
      <c r="AE29" s="517"/>
      <c r="AF29" s="541"/>
      <c r="AG29" s="542"/>
      <c r="AH29" s="543"/>
      <c r="AI29" s="520"/>
      <c r="AJ29" s="545"/>
      <c r="AK29" s="545"/>
      <c r="AL29" s="521" t="str">
        <f t="shared" si="10"/>
        <v>-</v>
      </c>
    </row>
    <row r="30" spans="1:38" ht="12.95" customHeight="1" collapsed="1">
      <c r="A30" s="1486"/>
      <c r="B30" s="2063"/>
      <c r="C30" s="1017" t="s">
        <v>1273</v>
      </c>
      <c r="D30" s="1017"/>
      <c r="E30" s="1017"/>
      <c r="F30" s="1861">
        <f t="shared" si="7"/>
        <v>85</v>
      </c>
      <c r="G30" s="1861">
        <f t="shared" si="7"/>
        <v>99</v>
      </c>
      <c r="H30" s="1861">
        <f t="shared" si="7"/>
        <v>580</v>
      </c>
      <c r="I30" s="1861">
        <f t="shared" si="7"/>
        <v>1119</v>
      </c>
      <c r="J30" s="1859">
        <f t="shared" si="7"/>
        <v>1388</v>
      </c>
      <c r="K30" s="1859">
        <f t="shared" si="7"/>
        <v>1703</v>
      </c>
      <c r="L30" s="1860">
        <f t="shared" si="8"/>
        <v>22.686562745551853</v>
      </c>
      <c r="M30" s="1486"/>
      <c r="O30" s="547" t="s">
        <v>1176</v>
      </c>
      <c r="P30" s="548"/>
      <c r="Q30" s="549">
        <v>85531129</v>
      </c>
      <c r="R30" s="550">
        <v>99507703</v>
      </c>
      <c r="S30" s="551">
        <v>580679550</v>
      </c>
      <c r="T30" s="552">
        <v>1119139166</v>
      </c>
      <c r="U30" s="552">
        <v>1388626045</v>
      </c>
      <c r="V30" s="552">
        <v>1703657564</v>
      </c>
      <c r="W30" s="553">
        <f t="shared" si="9"/>
        <v>22.686562745551853</v>
      </c>
      <c r="Y30" s="554"/>
      <c r="AD30" s="547" t="s">
        <v>1176</v>
      </c>
      <c r="AE30" s="548"/>
      <c r="AF30" s="549"/>
      <c r="AG30" s="550"/>
      <c r="AH30" s="551"/>
      <c r="AI30" s="552"/>
      <c r="AJ30" s="552"/>
      <c r="AK30" s="552"/>
      <c r="AL30" s="553" t="str">
        <f t="shared" si="10"/>
        <v>-</v>
      </c>
    </row>
    <row r="31" spans="1:38" ht="12.95" customHeight="1">
      <c r="A31" s="1509"/>
      <c r="B31" s="2064" t="s">
        <v>1277</v>
      </c>
      <c r="C31" s="1862"/>
      <c r="D31" s="1862"/>
      <c r="E31" s="1873"/>
      <c r="F31" s="1874">
        <f t="shared" si="7"/>
        <v>85</v>
      </c>
      <c r="G31" s="1874">
        <f t="shared" si="7"/>
        <v>99</v>
      </c>
      <c r="H31" s="1874">
        <f t="shared" si="7"/>
        <v>580</v>
      </c>
      <c r="I31" s="1863">
        <f t="shared" si="7"/>
        <v>1119</v>
      </c>
      <c r="J31" s="1874">
        <f t="shared" si="7"/>
        <v>1388</v>
      </c>
      <c r="K31" s="1874">
        <f t="shared" si="7"/>
        <v>1703</v>
      </c>
      <c r="L31" s="1865">
        <f t="shared" si="8"/>
        <v>22.686562745551853</v>
      </c>
      <c r="M31" s="1486"/>
      <c r="O31" s="555" t="s">
        <v>281</v>
      </c>
      <c r="P31" s="530"/>
      <c r="Q31" s="556">
        <v>85531129</v>
      </c>
      <c r="R31" s="556">
        <v>99507703</v>
      </c>
      <c r="S31" s="556">
        <v>580679550</v>
      </c>
      <c r="T31" s="533">
        <v>1119139166</v>
      </c>
      <c r="U31" s="533">
        <v>1388626045</v>
      </c>
      <c r="V31" s="533">
        <v>1703657564</v>
      </c>
      <c r="W31" s="553">
        <f t="shared" si="9"/>
        <v>22.686562745551853</v>
      </c>
      <c r="Y31" s="523"/>
      <c r="AD31" s="555" t="s">
        <v>281</v>
      </c>
      <c r="AE31" s="530"/>
      <c r="AF31" s="556"/>
      <c r="AG31" s="556"/>
      <c r="AH31" s="556"/>
      <c r="AI31" s="533"/>
      <c r="AJ31" s="533"/>
      <c r="AK31" s="533"/>
      <c r="AL31" s="553" t="str">
        <f t="shared" si="10"/>
        <v>-</v>
      </c>
    </row>
    <row r="32" spans="1:38" ht="12.95" customHeight="1">
      <c r="A32" s="1509"/>
      <c r="B32" s="1875" t="s">
        <v>1278</v>
      </c>
      <c r="C32" s="1858"/>
      <c r="D32" s="1858"/>
      <c r="E32" s="1858"/>
      <c r="F32" s="1858">
        <f t="shared" si="7"/>
        <v>81482</v>
      </c>
      <c r="G32" s="1858">
        <f t="shared" si="7"/>
        <v>88778</v>
      </c>
      <c r="H32" s="1858">
        <f t="shared" si="7"/>
        <v>97606</v>
      </c>
      <c r="I32" s="1473">
        <f t="shared" si="7"/>
        <v>104021</v>
      </c>
      <c r="J32" s="1472">
        <f t="shared" si="7"/>
        <v>113854</v>
      </c>
      <c r="K32" s="1472">
        <f t="shared" si="7"/>
        <v>119800</v>
      </c>
      <c r="L32" s="1860">
        <f t="shared" si="8"/>
        <v>5.2224198694959201</v>
      </c>
      <c r="M32" s="1486"/>
      <c r="O32" s="1757" t="s">
        <v>1168</v>
      </c>
      <c r="P32" s="1753"/>
      <c r="Q32" s="1758">
        <v>81482517034</v>
      </c>
      <c r="R32" s="1759">
        <v>88778392668</v>
      </c>
      <c r="S32" s="1760">
        <v>97606207402</v>
      </c>
      <c r="T32" s="284">
        <v>104021676521</v>
      </c>
      <c r="U32" s="284">
        <v>113854062802</v>
      </c>
      <c r="V32" s="284">
        <v>119800000000</v>
      </c>
      <c r="W32" s="1761">
        <f t="shared" si="9"/>
        <v>5.2224198694959201</v>
      </c>
      <c r="Y32" s="523"/>
      <c r="AD32" s="1757" t="s">
        <v>1168</v>
      </c>
      <c r="AE32" s="1753"/>
      <c r="AF32" s="1758"/>
      <c r="AG32" s="1759"/>
      <c r="AH32" s="1760"/>
      <c r="AI32" s="284"/>
      <c r="AJ32" s="284"/>
      <c r="AK32" s="284"/>
      <c r="AL32" s="1761" t="str">
        <f t="shared" si="10"/>
        <v>-</v>
      </c>
    </row>
    <row r="33" spans="1:38" ht="12.95" customHeight="1">
      <c r="A33" s="1509"/>
      <c r="B33" s="1876" t="s">
        <v>1279</v>
      </c>
      <c r="C33" s="1855"/>
      <c r="D33" s="1855"/>
      <c r="E33" s="1855"/>
      <c r="F33" s="1855">
        <f t="shared" si="7"/>
        <v>41574</v>
      </c>
      <c r="G33" s="1855">
        <f t="shared" si="7"/>
        <v>43778</v>
      </c>
      <c r="H33" s="1855">
        <f t="shared" si="7"/>
        <v>48937</v>
      </c>
      <c r="I33" s="1877">
        <f t="shared" si="7"/>
        <v>54206</v>
      </c>
      <c r="J33" s="1878">
        <f t="shared" si="7"/>
        <v>59847</v>
      </c>
      <c r="K33" s="1878">
        <f t="shared" si="7"/>
        <v>61000</v>
      </c>
      <c r="L33" s="1857">
        <f t="shared" si="8"/>
        <v>1.9253327898106853</v>
      </c>
      <c r="M33" s="1486"/>
      <c r="N33" s="89"/>
      <c r="O33" s="1757" t="s">
        <v>282</v>
      </c>
      <c r="P33" s="1753"/>
      <c r="Q33" s="1758">
        <v>41574491701</v>
      </c>
      <c r="R33" s="1759">
        <v>43778105000</v>
      </c>
      <c r="S33" s="1760">
        <v>48937718092</v>
      </c>
      <c r="T33" s="284">
        <v>54206540246</v>
      </c>
      <c r="U33" s="284">
        <v>59847731992</v>
      </c>
      <c r="V33" s="284">
        <v>61000000000</v>
      </c>
      <c r="W33" s="1762">
        <f t="shared" si="9"/>
        <v>1.9253327898106853</v>
      </c>
      <c r="X33" s="523"/>
      <c r="Y33" s="523"/>
      <c r="AD33" s="1757" t="s">
        <v>282</v>
      </c>
      <c r="AE33" s="1753"/>
      <c r="AF33" s="1758"/>
      <c r="AG33" s="1759"/>
      <c r="AH33" s="1760"/>
      <c r="AI33" s="284"/>
      <c r="AJ33" s="284"/>
      <c r="AK33" s="284"/>
      <c r="AL33" s="1762" t="str">
        <f t="shared" si="10"/>
        <v>-</v>
      </c>
    </row>
    <row r="34" spans="1:38" ht="12.95" customHeight="1">
      <c r="A34" s="1509"/>
      <c r="B34" s="1875" t="s">
        <v>1280</v>
      </c>
      <c r="C34" s="1858"/>
      <c r="D34" s="1858"/>
      <c r="E34" s="1858"/>
      <c r="F34" s="1858">
        <f t="shared" si="7"/>
        <v>42374</v>
      </c>
      <c r="G34" s="1858">
        <f t="shared" si="7"/>
        <v>44491</v>
      </c>
      <c r="H34" s="1858">
        <f t="shared" si="7"/>
        <v>49654</v>
      </c>
      <c r="I34" s="1473">
        <f t="shared" si="7"/>
        <v>54883</v>
      </c>
      <c r="J34" s="1472">
        <f t="shared" si="7"/>
        <v>60590</v>
      </c>
      <c r="K34" s="1472">
        <f>IF(OR(V34="-",V34=""),"-",ROUNDDOWN(V34,-6)/1000000)</f>
        <v>61800</v>
      </c>
      <c r="L34" s="1860">
        <f t="shared" si="8"/>
        <v>1.9963091480897033</v>
      </c>
      <c r="M34" s="1486"/>
      <c r="N34" s="89"/>
      <c r="O34" s="1757" t="s">
        <v>283</v>
      </c>
      <c r="P34" s="1753"/>
      <c r="Q34" s="1758">
        <v>42374184874</v>
      </c>
      <c r="R34" s="1759">
        <v>44491472921</v>
      </c>
      <c r="S34" s="1760">
        <v>49654787230</v>
      </c>
      <c r="T34" s="284">
        <v>54883826994</v>
      </c>
      <c r="U34" s="284">
        <v>60590427748</v>
      </c>
      <c r="V34" s="284">
        <v>61800000000</v>
      </c>
      <c r="W34" s="1762">
        <f t="shared" si="9"/>
        <v>1.9963091480897033</v>
      </c>
      <c r="X34" s="523"/>
      <c r="Y34" s="523"/>
      <c r="AD34" s="1757" t="s">
        <v>283</v>
      </c>
      <c r="AE34" s="1753"/>
      <c r="AF34" s="1758"/>
      <c r="AG34" s="1759"/>
      <c r="AH34" s="1760"/>
      <c r="AI34" s="284"/>
      <c r="AJ34" s="284"/>
      <c r="AK34" s="284"/>
      <c r="AL34" s="1762" t="str">
        <f t="shared" si="10"/>
        <v>-</v>
      </c>
    </row>
    <row r="35" spans="1:38" ht="12.95" customHeight="1">
      <c r="A35" s="1486"/>
      <c r="B35" s="1879" t="s">
        <v>1281</v>
      </c>
      <c r="C35" s="1880"/>
      <c r="D35" s="1880"/>
      <c r="E35" s="1880"/>
      <c r="F35" s="1880">
        <f t="shared" si="7"/>
        <v>29745</v>
      </c>
      <c r="G35" s="1880">
        <f t="shared" si="7"/>
        <v>30008</v>
      </c>
      <c r="H35" s="1880">
        <f t="shared" si="7"/>
        <v>32906</v>
      </c>
      <c r="I35" s="1881">
        <f t="shared" si="7"/>
        <v>37636</v>
      </c>
      <c r="J35" s="1882">
        <f t="shared" si="7"/>
        <v>41360</v>
      </c>
      <c r="K35" s="1882">
        <f>IF(OR(V35="-",V35=""),"-",ROUNDDOWN(V35,-6)/1000000)</f>
        <v>41600</v>
      </c>
      <c r="L35" s="1883">
        <f t="shared" si="8"/>
        <v>0.57820315954342227</v>
      </c>
      <c r="M35" s="1486"/>
      <c r="O35" s="1757" t="s">
        <v>247</v>
      </c>
      <c r="P35" s="1753"/>
      <c r="Q35" s="1758">
        <v>29745596639</v>
      </c>
      <c r="R35" s="1759">
        <v>30008988249</v>
      </c>
      <c r="S35" s="1760">
        <v>32906489239</v>
      </c>
      <c r="T35" s="284">
        <v>37636483681</v>
      </c>
      <c r="U35" s="284">
        <v>41360850257</v>
      </c>
      <c r="V35" s="284">
        <v>41600000000</v>
      </c>
      <c r="W35" s="558">
        <f t="shared" si="9"/>
        <v>0.57820315954342227</v>
      </c>
      <c r="X35" s="523"/>
      <c r="AD35" s="1757" t="s">
        <v>247</v>
      </c>
      <c r="AE35" s="1753"/>
      <c r="AF35" s="1758"/>
      <c r="AG35" s="1759"/>
      <c r="AH35" s="1760"/>
      <c r="AI35" s="284"/>
      <c r="AJ35" s="284"/>
      <c r="AK35" s="284"/>
      <c r="AL35" s="558" t="str">
        <f t="shared" si="10"/>
        <v>-</v>
      </c>
    </row>
    <row r="36" spans="1:38" ht="9.9499999999999993" hidden="1" customHeight="1">
      <c r="A36" s="1486"/>
      <c r="B36" s="1720" t="s">
        <v>986</v>
      </c>
      <c r="C36" s="1491"/>
      <c r="D36" s="1491"/>
      <c r="E36" s="1491"/>
      <c r="F36" s="1538"/>
      <c r="G36" s="1538"/>
      <c r="H36" s="1538"/>
      <c r="I36" s="1538"/>
      <c r="J36" s="1490"/>
      <c r="K36" s="1490"/>
      <c r="L36" s="1490"/>
      <c r="M36" s="1486"/>
      <c r="Q36" s="84"/>
      <c r="R36" s="84"/>
      <c r="S36" s="84"/>
      <c r="T36" s="84"/>
    </row>
    <row r="37" spans="1:38" ht="8.1" hidden="1" customHeight="1">
      <c r="A37" s="1486"/>
      <c r="B37" s="1720" t="s">
        <v>1169</v>
      </c>
      <c r="C37" s="1491"/>
      <c r="D37" s="1491"/>
      <c r="E37" s="1491"/>
      <c r="F37" s="1538"/>
      <c r="G37" s="1538"/>
      <c r="H37" s="1538"/>
      <c r="I37" s="1538"/>
      <c r="J37" s="1490"/>
      <c r="K37" s="1490"/>
      <c r="L37" s="1490"/>
      <c r="M37" s="1486"/>
      <c r="Q37" s="84"/>
      <c r="R37" s="84"/>
      <c r="S37" s="84"/>
      <c r="T37" s="84"/>
    </row>
    <row r="38" spans="1:38" ht="12" customHeight="1">
      <c r="A38" s="1486"/>
      <c r="B38" s="1720"/>
      <c r="C38" s="1491"/>
      <c r="D38" s="1491"/>
      <c r="E38" s="1491"/>
      <c r="F38" s="1538"/>
      <c r="G38" s="1538"/>
      <c r="H38" s="1538"/>
      <c r="I38" s="1538"/>
      <c r="J38" s="1490"/>
      <c r="K38" s="1490"/>
      <c r="L38" s="1490"/>
      <c r="M38" s="1486"/>
      <c r="Q38" s="84"/>
      <c r="R38" s="84"/>
      <c r="S38" s="84"/>
      <c r="T38" s="84"/>
    </row>
    <row r="39" spans="1:38" ht="7.5" customHeight="1">
      <c r="A39" s="1486"/>
      <c r="B39" s="1720"/>
      <c r="C39" s="1491"/>
      <c r="D39" s="1491"/>
      <c r="E39" s="1491"/>
      <c r="F39" s="1538"/>
      <c r="G39" s="1538"/>
      <c r="H39" s="1538"/>
      <c r="I39" s="1538"/>
      <c r="J39" s="1490"/>
      <c r="K39" s="1490"/>
      <c r="L39" s="1490"/>
      <c r="M39" s="1486"/>
      <c r="Q39" s="84"/>
      <c r="R39" s="84"/>
      <c r="S39" s="84"/>
      <c r="T39" s="84"/>
    </row>
    <row r="40" spans="1:38" ht="9.9499999999999993" customHeight="1" thickBot="1">
      <c r="A40" s="1486"/>
      <c r="B40" s="1490"/>
      <c r="C40" s="1491"/>
      <c r="D40" s="1491"/>
      <c r="E40" s="1491"/>
      <c r="F40" s="1538"/>
      <c r="G40" s="1538"/>
      <c r="H40" s="1538"/>
      <c r="I40" s="1538"/>
      <c r="J40" s="1490"/>
      <c r="K40" s="1490"/>
      <c r="L40" s="1490"/>
      <c r="M40" s="1486"/>
      <c r="Q40" s="84"/>
      <c r="R40" s="84"/>
      <c r="S40" s="559" t="s">
        <v>329</v>
      </c>
      <c r="T40" s="84"/>
    </row>
    <row r="41" spans="1:38" ht="12" customHeight="1" thickBot="1">
      <c r="A41" s="1486"/>
      <c r="B41" s="1490"/>
      <c r="C41" s="1538"/>
      <c r="D41" s="1538"/>
      <c r="E41" s="1538"/>
      <c r="F41" s="1538"/>
      <c r="G41" s="1538"/>
      <c r="H41" s="1538"/>
      <c r="I41" s="1538"/>
      <c r="J41" s="1490"/>
      <c r="K41" s="1490"/>
      <c r="L41" s="1815" t="s">
        <v>1685</v>
      </c>
      <c r="M41" s="1486"/>
      <c r="O41" s="1763" t="s">
        <v>284</v>
      </c>
      <c r="P41" s="1764"/>
      <c r="Q41" s="1760">
        <v>2731669</v>
      </c>
      <c r="R41" s="1760">
        <v>2958598</v>
      </c>
      <c r="S41" s="1758">
        <v>3084529</v>
      </c>
      <c r="T41" s="1760">
        <v>3202002</v>
      </c>
      <c r="U41" s="285">
        <v>3504437</v>
      </c>
      <c r="V41" s="560">
        <v>3560000</v>
      </c>
      <c r="W41" s="561">
        <f>IF(V41="","-",IF(ISERROR((V41/U41-1)*100),"-",(V41/U41-1)*100))</f>
        <v>1.5855043192387175</v>
      </c>
    </row>
    <row r="42" spans="1:38" ht="12.95" customHeight="1">
      <c r="A42" s="1486"/>
      <c r="B42" s="1884" t="s">
        <v>1282</v>
      </c>
      <c r="C42" s="1885"/>
      <c r="D42" s="1885"/>
      <c r="E42" s="1885"/>
      <c r="F42" s="1886">
        <f t="shared" ref="F42:L51" si="11">Q41</f>
        <v>2731669</v>
      </c>
      <c r="G42" s="1886">
        <f t="shared" si="11"/>
        <v>2958598</v>
      </c>
      <c r="H42" s="1886">
        <f t="shared" si="11"/>
        <v>3084529</v>
      </c>
      <c r="I42" s="1886">
        <f t="shared" si="11"/>
        <v>3202002</v>
      </c>
      <c r="J42" s="1886">
        <f t="shared" si="11"/>
        <v>3504437</v>
      </c>
      <c r="K42" s="1887">
        <f t="shared" si="11"/>
        <v>3560000</v>
      </c>
      <c r="L42" s="1888">
        <f t="shared" si="11"/>
        <v>1.5855043192387175</v>
      </c>
      <c r="M42" s="1486"/>
      <c r="O42" s="1763" t="s">
        <v>285</v>
      </c>
      <c r="P42" s="1764"/>
      <c r="Q42" s="1760">
        <v>1787302</v>
      </c>
      <c r="R42" s="1760">
        <v>1863988</v>
      </c>
      <c r="S42" s="1758">
        <v>1986643</v>
      </c>
      <c r="T42" s="1759">
        <v>2145158</v>
      </c>
      <c r="U42" s="285">
        <v>2347566</v>
      </c>
      <c r="V42" s="562">
        <v>2362000</v>
      </c>
      <c r="W42" s="1765">
        <f>IF(V42="","-",IF(ISERROR((V42/U42-1)*100),"-",(V42/U42-1)*100))</f>
        <v>0.6148495931530773</v>
      </c>
      <c r="AD42" s="1763" t="s">
        <v>284</v>
      </c>
      <c r="AE42" s="1764"/>
      <c r="AF42" s="1760"/>
      <c r="AG42" s="1760"/>
      <c r="AH42" s="1758"/>
      <c r="AI42" s="1760"/>
      <c r="AJ42" s="285"/>
      <c r="AK42" s="560"/>
      <c r="AL42" s="561" t="str">
        <f>IF(AK42="","-",IF(ISERROR((AK42/AJ42-1)*100),"-",(AK42/AJ42-1)*100))</f>
        <v>-</v>
      </c>
    </row>
    <row r="43" spans="1:38" ht="12.95" customHeight="1">
      <c r="A43" s="1486"/>
      <c r="B43" s="1875" t="s">
        <v>1283</v>
      </c>
      <c r="C43" s="1858"/>
      <c r="D43" s="1858"/>
      <c r="E43" s="1858"/>
      <c r="F43" s="1473">
        <f t="shared" si="11"/>
        <v>1787302</v>
      </c>
      <c r="G43" s="1473">
        <f t="shared" si="11"/>
        <v>1863988</v>
      </c>
      <c r="H43" s="1473">
        <f t="shared" si="11"/>
        <v>1986643</v>
      </c>
      <c r="I43" s="1473">
        <f t="shared" si="11"/>
        <v>2145158</v>
      </c>
      <c r="J43" s="1473">
        <f t="shared" si="11"/>
        <v>2347566</v>
      </c>
      <c r="K43" s="1472">
        <f t="shared" si="11"/>
        <v>2362000</v>
      </c>
      <c r="L43" s="1860">
        <f t="shared" si="11"/>
        <v>0.6148495931530773</v>
      </c>
      <c r="M43" s="1486"/>
      <c r="O43" s="1763" t="s">
        <v>286</v>
      </c>
      <c r="P43" s="1764"/>
      <c r="Q43" s="1766">
        <v>65.400000000000006</v>
      </c>
      <c r="R43" s="1766">
        <v>63</v>
      </c>
      <c r="S43" s="1766">
        <v>64.400000000000006</v>
      </c>
      <c r="T43" s="1766">
        <v>67</v>
      </c>
      <c r="U43" s="1767">
        <v>67</v>
      </c>
      <c r="V43" s="564">
        <v>66.3</v>
      </c>
      <c r="W43" s="1768" t="s">
        <v>1170</v>
      </c>
      <c r="AD43" s="1763" t="s">
        <v>285</v>
      </c>
      <c r="AE43" s="1764"/>
      <c r="AF43" s="1760"/>
      <c r="AG43" s="1760"/>
      <c r="AH43" s="1758"/>
      <c r="AI43" s="1759"/>
      <c r="AJ43" s="285"/>
      <c r="AK43" s="562"/>
      <c r="AL43" s="1765" t="str">
        <f>IF(AK43="","-",IF(ISERROR((AK43/AJ43-1)*100),"-",(AK43/AJ43-1)*100))</f>
        <v>-</v>
      </c>
    </row>
    <row r="44" spans="1:38" ht="12.95" customHeight="1">
      <c r="A44" s="1486"/>
      <c r="B44" s="1876" t="s">
        <v>1284</v>
      </c>
      <c r="C44" s="1855"/>
      <c r="D44" s="1855"/>
      <c r="E44" s="1855"/>
      <c r="F44" s="1242">
        <f t="shared" si="11"/>
        <v>65.400000000000006</v>
      </c>
      <c r="G44" s="1242">
        <f t="shared" si="11"/>
        <v>63</v>
      </c>
      <c r="H44" s="1242">
        <f t="shared" si="11"/>
        <v>64.400000000000006</v>
      </c>
      <c r="I44" s="1242">
        <f t="shared" si="11"/>
        <v>67</v>
      </c>
      <c r="J44" s="1242">
        <f>U43</f>
        <v>67</v>
      </c>
      <c r="K44" s="1205">
        <f>V43</f>
        <v>66.3</v>
      </c>
      <c r="L44" s="1857" t="str">
        <f t="shared" si="11"/>
        <v>-</v>
      </c>
      <c r="M44" s="1480"/>
      <c r="N44" s="563"/>
      <c r="O44" s="1763" t="s">
        <v>287</v>
      </c>
      <c r="P44" s="1764"/>
      <c r="Q44" s="1760">
        <v>5593</v>
      </c>
      <c r="R44" s="1760">
        <v>5629</v>
      </c>
      <c r="S44" s="1758">
        <v>5702</v>
      </c>
      <c r="T44" s="1760">
        <v>5782</v>
      </c>
      <c r="U44" s="285">
        <v>5696</v>
      </c>
      <c r="V44" s="565">
        <v>5767</v>
      </c>
      <c r="W44" s="1765">
        <f>IF(ISERROR((V44/U44-1)*100),"-",(V44/U44-1)*100)</f>
        <v>1.2464887640449396</v>
      </c>
      <c r="AD44" s="1763" t="s">
        <v>286</v>
      </c>
      <c r="AE44" s="1764"/>
      <c r="AF44" s="1766"/>
      <c r="AG44" s="1766"/>
      <c r="AH44" s="1766"/>
      <c r="AI44" s="1766"/>
      <c r="AJ44" s="1767"/>
      <c r="AK44" s="564"/>
      <c r="AL44" s="1768" t="s">
        <v>1170</v>
      </c>
    </row>
    <row r="45" spans="1:38" ht="12.95" customHeight="1">
      <c r="A45" s="1486"/>
      <c r="B45" s="1875" t="s">
        <v>1285</v>
      </c>
      <c r="C45" s="1858"/>
      <c r="D45" s="1858"/>
      <c r="E45" s="1889"/>
      <c r="F45" s="1473">
        <f t="shared" si="11"/>
        <v>5593</v>
      </c>
      <c r="G45" s="1473">
        <f t="shared" si="11"/>
        <v>5629</v>
      </c>
      <c r="H45" s="1473">
        <f t="shared" si="11"/>
        <v>5702</v>
      </c>
      <c r="I45" s="1473">
        <f t="shared" si="11"/>
        <v>5782</v>
      </c>
      <c r="J45" s="1473">
        <f t="shared" si="11"/>
        <v>5696</v>
      </c>
      <c r="K45" s="1472">
        <f>V44</f>
        <v>5767</v>
      </c>
      <c r="L45" s="1860">
        <f t="shared" si="11"/>
        <v>1.2464887640449396</v>
      </c>
      <c r="M45" s="1480"/>
      <c r="N45" s="563"/>
      <c r="O45" s="1763" t="s">
        <v>288</v>
      </c>
      <c r="P45" s="1764"/>
      <c r="Q45" s="1760">
        <v>8491</v>
      </c>
      <c r="R45" s="1760">
        <v>8483</v>
      </c>
      <c r="S45" s="1758">
        <v>8830</v>
      </c>
      <c r="T45" s="1759">
        <v>8760</v>
      </c>
      <c r="U45" s="285">
        <v>8549</v>
      </c>
      <c r="V45" s="565">
        <v>8613</v>
      </c>
      <c r="W45" s="1765">
        <f>IF(ISERROR((V45/U45-1)*100),"-",(V45/U45-1)*100)</f>
        <v>0.74862557024213405</v>
      </c>
      <c r="AD45" s="1763" t="s">
        <v>287</v>
      </c>
      <c r="AE45" s="1764"/>
      <c r="AF45" s="1760"/>
      <c r="AG45" s="1760"/>
      <c r="AH45" s="1758"/>
      <c r="AI45" s="1760"/>
      <c r="AJ45" s="285"/>
      <c r="AK45" s="565"/>
      <c r="AL45" s="1765" t="str">
        <f>IF(ISERROR((AK45/AJ45-1)*100),"-",(AK45/AJ45-1)*100)</f>
        <v>-</v>
      </c>
    </row>
    <row r="46" spans="1:38" ht="12.95" customHeight="1">
      <c r="A46" s="1486"/>
      <c r="B46" s="1876" t="s">
        <v>1286</v>
      </c>
      <c r="C46" s="1855"/>
      <c r="D46" s="1855"/>
      <c r="E46" s="1890"/>
      <c r="F46" s="1877">
        <f t="shared" si="11"/>
        <v>8491</v>
      </c>
      <c r="G46" s="1877">
        <f t="shared" si="11"/>
        <v>8483</v>
      </c>
      <c r="H46" s="1877">
        <f t="shared" si="11"/>
        <v>8830</v>
      </c>
      <c r="I46" s="1877">
        <f t="shared" si="11"/>
        <v>8760</v>
      </c>
      <c r="J46" s="1877">
        <f t="shared" si="11"/>
        <v>8549</v>
      </c>
      <c r="K46" s="1878">
        <f>V45</f>
        <v>8613</v>
      </c>
      <c r="L46" s="1857">
        <f t="shared" si="11"/>
        <v>0.74862557024213405</v>
      </c>
      <c r="M46" s="668"/>
      <c r="N46" s="75"/>
      <c r="O46" s="1763" t="s">
        <v>289</v>
      </c>
      <c r="P46" s="1764"/>
      <c r="Q46" s="1760">
        <v>12924</v>
      </c>
      <c r="R46" s="1760">
        <v>12880</v>
      </c>
      <c r="S46" s="1758">
        <v>13350</v>
      </c>
      <c r="T46" s="1769">
        <v>14232</v>
      </c>
      <c r="U46" s="285">
        <v>14855</v>
      </c>
      <c r="V46" s="565">
        <v>14910</v>
      </c>
      <c r="W46" s="1765">
        <f>IF(ISERROR((V46/U46-1)*100),"-",(V46/U46-1)*100)</f>
        <v>0.37024570851564853</v>
      </c>
      <c r="X46" s="566"/>
      <c r="AD46" s="1763" t="s">
        <v>288</v>
      </c>
      <c r="AE46" s="1764"/>
      <c r="AF46" s="1760"/>
      <c r="AG46" s="1760"/>
      <c r="AH46" s="1758"/>
      <c r="AI46" s="1759"/>
      <c r="AJ46" s="285"/>
      <c r="AK46" s="565"/>
      <c r="AL46" s="1765" t="str">
        <f>IF(ISERROR((AK46/AJ46-1)*100),"-",(AK46/AJ46-1)*100)</f>
        <v>-</v>
      </c>
    </row>
    <row r="47" spans="1:38" ht="12.95" customHeight="1">
      <c r="A47" s="1486"/>
      <c r="B47" s="1875" t="s">
        <v>1486</v>
      </c>
      <c r="C47" s="1858"/>
      <c r="D47" s="1858"/>
      <c r="E47" s="1889"/>
      <c r="F47" s="1473">
        <f t="shared" si="11"/>
        <v>12924</v>
      </c>
      <c r="G47" s="1473">
        <f t="shared" si="11"/>
        <v>12880</v>
      </c>
      <c r="H47" s="1473">
        <f t="shared" si="11"/>
        <v>13350</v>
      </c>
      <c r="I47" s="1473">
        <f t="shared" si="11"/>
        <v>14232</v>
      </c>
      <c r="J47" s="1473">
        <f t="shared" si="11"/>
        <v>14855</v>
      </c>
      <c r="K47" s="1472">
        <f>V46</f>
        <v>14910</v>
      </c>
      <c r="L47" s="1860">
        <f t="shared" si="11"/>
        <v>0.37024570851564853</v>
      </c>
      <c r="M47" s="1486"/>
      <c r="O47" s="1763" t="s">
        <v>290</v>
      </c>
      <c r="P47" s="1764"/>
      <c r="Q47" s="1760">
        <v>48362</v>
      </c>
      <c r="R47" s="1760">
        <v>48490</v>
      </c>
      <c r="S47" s="1758">
        <v>48123</v>
      </c>
      <c r="T47" s="1760">
        <v>48160</v>
      </c>
      <c r="U47" s="285">
        <v>49176</v>
      </c>
      <c r="V47" s="567">
        <v>49600</v>
      </c>
      <c r="W47" s="279">
        <f>IF(V47="","-",IF(ISERROR((V47/U47-1)*100),"-",(V47/U47-1)*100))</f>
        <v>0.86220920774362497</v>
      </c>
      <c r="Y47" s="522"/>
      <c r="AD47" s="1763" t="s">
        <v>289</v>
      </c>
      <c r="AE47" s="1764"/>
      <c r="AF47" s="1760"/>
      <c r="AG47" s="1760"/>
      <c r="AH47" s="1758"/>
      <c r="AI47" s="1769"/>
      <c r="AJ47" s="285"/>
      <c r="AK47" s="565"/>
      <c r="AL47" s="1765" t="str">
        <f>IF(ISERROR((AK47/AJ47-1)*100),"-",(AK47/AJ47-1)*100)</f>
        <v>-</v>
      </c>
    </row>
    <row r="48" spans="1:38" ht="12.95" customHeight="1">
      <c r="A48" s="1486"/>
      <c r="B48" s="1876" t="s">
        <v>1287</v>
      </c>
      <c r="C48" s="1855"/>
      <c r="D48" s="1855"/>
      <c r="E48" s="1855"/>
      <c r="F48" s="1877">
        <f t="shared" si="11"/>
        <v>48362</v>
      </c>
      <c r="G48" s="1877">
        <f t="shared" si="11"/>
        <v>48490</v>
      </c>
      <c r="H48" s="1877">
        <f t="shared" si="11"/>
        <v>48123</v>
      </c>
      <c r="I48" s="1877">
        <f t="shared" si="11"/>
        <v>48160</v>
      </c>
      <c r="J48" s="1877">
        <f t="shared" si="11"/>
        <v>49176</v>
      </c>
      <c r="K48" s="1878">
        <f t="shared" si="11"/>
        <v>49600</v>
      </c>
      <c r="L48" s="1857">
        <f t="shared" si="11"/>
        <v>0.86220920774362497</v>
      </c>
      <c r="M48" s="1486"/>
      <c r="O48" s="1763" t="s">
        <v>1449</v>
      </c>
      <c r="P48" s="1764"/>
      <c r="Q48" s="1760">
        <v>33359</v>
      </c>
      <c r="R48" s="1760">
        <v>33934</v>
      </c>
      <c r="S48" s="1770">
        <v>34367</v>
      </c>
      <c r="T48" s="1771">
        <v>35148</v>
      </c>
      <c r="U48" s="1730">
        <v>36279</v>
      </c>
      <c r="V48" s="1772">
        <v>37237</v>
      </c>
      <c r="W48" s="1768">
        <f>IF(V48="","-",IF(ISERROR((V48/U48-1)*100),"-",(V48/U48-1)*100))</f>
        <v>2.6406461038066098</v>
      </c>
      <c r="X48" s="2126" t="s">
        <v>1636</v>
      </c>
      <c r="AD48" s="1763" t="s">
        <v>290</v>
      </c>
      <c r="AE48" s="1764"/>
      <c r="AF48" s="1760"/>
      <c r="AG48" s="1760"/>
      <c r="AH48" s="1758"/>
      <c r="AI48" s="1760"/>
      <c r="AJ48" s="285"/>
      <c r="AK48" s="567"/>
      <c r="AL48" s="279" t="str">
        <f>IF(AK48="","-",IF(ISERROR((AK48/AJ48-1)*100),"-",(AK48/AJ48-1)*100))</f>
        <v>-</v>
      </c>
    </row>
    <row r="49" spans="1:38" ht="12.95" customHeight="1">
      <c r="A49" s="1486"/>
      <c r="B49" s="1875" t="s">
        <v>1448</v>
      </c>
      <c r="C49" s="1858"/>
      <c r="D49" s="1858"/>
      <c r="E49" s="1858"/>
      <c r="F49" s="1473">
        <f t="shared" si="11"/>
        <v>33359</v>
      </c>
      <c r="G49" s="1473">
        <f t="shared" si="11"/>
        <v>33934</v>
      </c>
      <c r="H49" s="1473">
        <f t="shared" si="11"/>
        <v>34367</v>
      </c>
      <c r="I49" s="1473">
        <f t="shared" si="11"/>
        <v>35148</v>
      </c>
      <c r="J49" s="1472">
        <f t="shared" si="11"/>
        <v>36279</v>
      </c>
      <c r="K49" s="1472">
        <f t="shared" si="11"/>
        <v>37237</v>
      </c>
      <c r="L49" s="1860">
        <f t="shared" si="11"/>
        <v>2.6406461038066098</v>
      </c>
      <c r="M49" s="1486"/>
      <c r="O49" s="1763" t="s">
        <v>1438</v>
      </c>
      <c r="P49" s="1764"/>
      <c r="Q49" s="1760">
        <v>2081</v>
      </c>
      <c r="R49" s="1760">
        <v>1981</v>
      </c>
      <c r="S49" s="1758">
        <v>1774</v>
      </c>
      <c r="T49" s="1759">
        <v>1964</v>
      </c>
      <c r="U49" s="1730">
        <v>1946</v>
      </c>
      <c r="V49" s="562">
        <v>2000</v>
      </c>
      <c r="W49" s="1765">
        <f>IF(V49="","-",IF(ISERROR((V49/U49-1)*100),"-",(V49/U49-1)*100))</f>
        <v>2.7749229188078095</v>
      </c>
      <c r="X49" s="83" t="s">
        <v>1171</v>
      </c>
      <c r="AD49" s="1763" t="s">
        <v>1449</v>
      </c>
      <c r="AE49" s="1764"/>
      <c r="AF49" s="1760"/>
      <c r="AG49" s="1760"/>
      <c r="AH49" s="1770"/>
      <c r="AI49" s="1771"/>
      <c r="AJ49" s="1730"/>
      <c r="AK49" s="1772"/>
      <c r="AL49" s="1768" t="str">
        <f>IF(AK49="","-",IF(ISERROR((AK49/AJ49-1)*100),"-",(AK49/AJ49-1)*100))</f>
        <v>-</v>
      </c>
    </row>
    <row r="50" spans="1:38" ht="12.95" customHeight="1" thickBot="1">
      <c r="A50" s="1486"/>
      <c r="B50" s="1876" t="s">
        <v>1437</v>
      </c>
      <c r="C50" s="1855"/>
      <c r="D50" s="1855"/>
      <c r="E50" s="1855"/>
      <c r="F50" s="1877">
        <f t="shared" si="11"/>
        <v>2081</v>
      </c>
      <c r="G50" s="1877">
        <f t="shared" si="11"/>
        <v>1981</v>
      </c>
      <c r="H50" s="1877">
        <f t="shared" si="11"/>
        <v>1774</v>
      </c>
      <c r="I50" s="1877">
        <f t="shared" si="11"/>
        <v>1964</v>
      </c>
      <c r="J50" s="1877">
        <f t="shared" si="11"/>
        <v>1946</v>
      </c>
      <c r="K50" s="1878">
        <f t="shared" si="11"/>
        <v>2000</v>
      </c>
      <c r="L50" s="1857">
        <f t="shared" si="11"/>
        <v>2.7749229188078095</v>
      </c>
      <c r="M50" s="1486"/>
      <c r="O50" s="1763" t="s">
        <v>48</v>
      </c>
      <c r="P50" s="1764"/>
      <c r="Q50" s="1760">
        <v>144</v>
      </c>
      <c r="R50" s="1760">
        <v>147</v>
      </c>
      <c r="S50" s="1770">
        <v>138</v>
      </c>
      <c r="T50" s="1773">
        <v>141</v>
      </c>
      <c r="U50" s="568">
        <v>142</v>
      </c>
      <c r="V50" s="569">
        <v>151</v>
      </c>
      <c r="W50" s="570">
        <f>IF(V50="","-",IF(ISERROR((V50/U50-1)*100),"-",(V50/U50-1)*100))</f>
        <v>6.3380281690140761</v>
      </c>
      <c r="AD50" s="1763" t="s">
        <v>1438</v>
      </c>
      <c r="AE50" s="1764"/>
      <c r="AF50" s="1760"/>
      <c r="AG50" s="1760"/>
      <c r="AH50" s="1758"/>
      <c r="AI50" s="1759"/>
      <c r="AJ50" s="1730"/>
      <c r="AK50" s="562"/>
      <c r="AL50" s="1765" t="str">
        <f>IF(AK50="","-",IF(ISERROR((AK50/AJ50-1)*100),"-",(AK50/AJ50-1)*100))</f>
        <v>-</v>
      </c>
    </row>
    <row r="51" spans="1:38" ht="12.95" customHeight="1" thickBot="1">
      <c r="A51" s="1486"/>
      <c r="B51" s="1891" t="s">
        <v>1288</v>
      </c>
      <c r="C51" s="1892"/>
      <c r="D51" s="1892"/>
      <c r="E51" s="1892"/>
      <c r="F51" s="1494">
        <f t="shared" si="11"/>
        <v>144</v>
      </c>
      <c r="G51" s="1494">
        <f t="shared" si="11"/>
        <v>147</v>
      </c>
      <c r="H51" s="1494">
        <f t="shared" si="11"/>
        <v>138</v>
      </c>
      <c r="I51" s="1494">
        <f t="shared" si="11"/>
        <v>141</v>
      </c>
      <c r="J51" s="1501">
        <f t="shared" si="11"/>
        <v>142</v>
      </c>
      <c r="K51" s="1501">
        <f t="shared" si="11"/>
        <v>151</v>
      </c>
      <c r="L51" s="1893">
        <f t="shared" si="11"/>
        <v>6.3380281690140761</v>
      </c>
      <c r="M51" s="1486"/>
      <c r="W51" s="89"/>
      <c r="AD51" s="1763" t="s">
        <v>48</v>
      </c>
      <c r="AE51" s="1764"/>
      <c r="AF51" s="1760"/>
      <c r="AG51" s="1760"/>
      <c r="AH51" s="1770"/>
      <c r="AI51" s="1773"/>
      <c r="AJ51" s="568"/>
      <c r="AK51" s="569"/>
      <c r="AL51" s="570" t="str">
        <f>IF(AK51="","-",IF(ISERROR((AK51/AJ51-1)*100),"-",(AK51/AJ51-1)*100))</f>
        <v>-</v>
      </c>
    </row>
    <row r="52" spans="1:38" ht="12.75" customHeight="1">
      <c r="A52" s="1486"/>
      <c r="B52" s="1506"/>
      <c r="C52" s="1507"/>
      <c r="D52" s="1507"/>
      <c r="E52" s="1507"/>
      <c r="F52" s="627"/>
      <c r="G52" s="627"/>
      <c r="H52" s="627"/>
      <c r="I52" s="627"/>
      <c r="J52" s="1512"/>
      <c r="K52" s="1512"/>
      <c r="L52" s="644"/>
      <c r="M52" s="1486"/>
      <c r="N52" s="80"/>
      <c r="Q52" s="84"/>
      <c r="R52" s="84"/>
      <c r="S52" s="84"/>
      <c r="T52" s="84"/>
      <c r="W52" s="89"/>
    </row>
    <row r="53" spans="1:38" ht="12" customHeight="1">
      <c r="A53" s="1486"/>
      <c r="B53" s="1490"/>
      <c r="C53" s="1538"/>
      <c r="D53" s="1538"/>
      <c r="E53" s="1538"/>
      <c r="F53" s="1490"/>
      <c r="G53" s="1490"/>
      <c r="H53" s="1490"/>
      <c r="I53" s="1490"/>
      <c r="J53" s="1490"/>
      <c r="K53" s="1490"/>
      <c r="L53" s="1490"/>
      <c r="M53" s="668"/>
    </row>
    <row r="54" spans="1:38" ht="12" customHeight="1" thickBot="1">
      <c r="A54" s="1486"/>
      <c r="B54" s="1490"/>
      <c r="C54" s="1538"/>
      <c r="D54" s="1538"/>
      <c r="E54" s="1538"/>
      <c r="F54" s="1538"/>
      <c r="G54" s="1538"/>
      <c r="H54" s="1538"/>
      <c r="I54" s="1538"/>
      <c r="J54" s="1490"/>
      <c r="K54" s="1490"/>
      <c r="L54" s="673" t="s">
        <v>1684</v>
      </c>
      <c r="M54" s="668"/>
    </row>
    <row r="55" spans="1:38" ht="12.95" customHeight="1">
      <c r="A55" s="1486"/>
      <c r="B55" s="1894" t="s">
        <v>1289</v>
      </c>
      <c r="C55" s="1885"/>
      <c r="D55" s="1885"/>
      <c r="E55" s="1885"/>
      <c r="F55" s="1885">
        <f t="shared" ref="F55:K56" si="12">IF(OR(Q55="-",Q55=""),"-",ROUNDDOWN(Q55,-6)/1000000)</f>
        <v>2036</v>
      </c>
      <c r="G55" s="1885">
        <f t="shared" si="12"/>
        <v>4567</v>
      </c>
      <c r="H55" s="1885">
        <f t="shared" si="12"/>
        <v>2666</v>
      </c>
      <c r="I55" s="1885">
        <f t="shared" si="12"/>
        <v>4270</v>
      </c>
      <c r="J55" s="1895">
        <f t="shared" si="12"/>
        <v>11038</v>
      </c>
      <c r="K55" s="1895">
        <f t="shared" si="12"/>
        <v>7400</v>
      </c>
      <c r="L55" s="1888">
        <f>W55</f>
        <v>-32.964162379677816</v>
      </c>
      <c r="M55" s="668"/>
      <c r="O55" s="1763" t="s">
        <v>1696</v>
      </c>
      <c r="P55" s="1774"/>
      <c r="Q55" s="1775">
        <v>2036462306</v>
      </c>
      <c r="R55" s="1775">
        <v>4567783396</v>
      </c>
      <c r="S55" s="1776">
        <v>2666317377</v>
      </c>
      <c r="T55" s="1776">
        <v>4270456749</v>
      </c>
      <c r="U55" s="571">
        <v>11038871539</v>
      </c>
      <c r="V55" s="572">
        <v>7400000000</v>
      </c>
      <c r="W55" s="561">
        <f>IF(V55="","-",IF(ISERROR((V55/U55-1)*100),"-",(V55/U55-1)*100))</f>
        <v>-32.964162379677816</v>
      </c>
    </row>
    <row r="56" spans="1:38" ht="12.95" customHeight="1" thickBot="1">
      <c r="A56" s="1486"/>
      <c r="B56" s="1896" t="s">
        <v>1290</v>
      </c>
      <c r="C56" s="1892"/>
      <c r="D56" s="1892"/>
      <c r="E56" s="1892"/>
      <c r="F56" s="1892">
        <f t="shared" si="12"/>
        <v>4959</v>
      </c>
      <c r="G56" s="1892">
        <f t="shared" si="12"/>
        <v>4626</v>
      </c>
      <c r="H56" s="1892">
        <f t="shared" si="12"/>
        <v>4600</v>
      </c>
      <c r="I56" s="1892">
        <f t="shared" si="12"/>
        <v>4637</v>
      </c>
      <c r="J56" s="1897">
        <f t="shared" si="12"/>
        <v>5070</v>
      </c>
      <c r="K56" s="1897">
        <f t="shared" si="12"/>
        <v>5600</v>
      </c>
      <c r="L56" s="1893">
        <f>W56</f>
        <v>10.445943337668705</v>
      </c>
      <c r="M56" s="668"/>
      <c r="O56" s="573" t="s">
        <v>147</v>
      </c>
      <c r="P56" s="574"/>
      <c r="Q56" s="557">
        <v>4959407081</v>
      </c>
      <c r="R56" s="557">
        <v>4626206210</v>
      </c>
      <c r="S56" s="575">
        <v>4600563767</v>
      </c>
      <c r="T56" s="575">
        <v>4637024718</v>
      </c>
      <c r="U56" s="576">
        <v>5070391413</v>
      </c>
      <c r="V56" s="577">
        <v>5600041627</v>
      </c>
      <c r="W56" s="331">
        <f>IF(V56="","-",IF(ISERROR((V56/U56-1)*100),"-",(V56/U56-1)*100))</f>
        <v>10.445943337668705</v>
      </c>
    </row>
    <row r="57" spans="1:38" ht="15" customHeight="1">
      <c r="A57" s="1486"/>
      <c r="B57" s="1491"/>
      <c r="C57" s="1487"/>
      <c r="D57" s="1487"/>
      <c r="E57" s="1487"/>
      <c r="F57" s="1487"/>
      <c r="G57" s="1486"/>
      <c r="H57" s="1487"/>
      <c r="I57" s="1486"/>
      <c r="J57" s="1486"/>
      <c r="K57" s="1486"/>
      <c r="L57" s="1486"/>
      <c r="M57" s="1486"/>
    </row>
    <row r="58" spans="1:38" ht="4.5" customHeight="1">
      <c r="A58" s="1486"/>
      <c r="B58" s="1491"/>
      <c r="C58" s="1487"/>
      <c r="D58" s="1487"/>
      <c r="E58" s="1487"/>
      <c r="F58" s="1487"/>
      <c r="G58" s="1486"/>
      <c r="H58" s="1487"/>
      <c r="I58" s="1486"/>
      <c r="J58" s="1486"/>
      <c r="K58" s="1486"/>
      <c r="L58" s="1486"/>
      <c r="M58" s="1486"/>
    </row>
    <row r="59" spans="1:38" ht="15" customHeight="1">
      <c r="A59" s="1484"/>
      <c r="B59" s="1484"/>
      <c r="C59" s="1515"/>
      <c r="D59" s="1515"/>
      <c r="E59" s="1515"/>
      <c r="F59" s="1515"/>
      <c r="G59" s="1484"/>
      <c r="H59" s="1515"/>
      <c r="I59" s="1484"/>
      <c r="J59" s="1484"/>
      <c r="K59" s="1484"/>
      <c r="L59" s="1484"/>
      <c r="M59" s="1484"/>
      <c r="S59" s="559" t="s">
        <v>329</v>
      </c>
    </row>
    <row r="60" spans="1:38" ht="13.5" customHeight="1">
      <c r="A60" s="1484"/>
      <c r="B60" s="1484"/>
      <c r="C60" s="1515"/>
      <c r="D60" s="1515"/>
      <c r="E60" s="1515"/>
      <c r="F60" s="1515"/>
      <c r="G60" s="1484"/>
      <c r="H60" s="1515"/>
      <c r="I60" s="1484"/>
      <c r="J60" s="1484"/>
      <c r="K60" s="1484"/>
      <c r="L60" s="1484"/>
      <c r="M60" s="1484"/>
      <c r="S60" s="559"/>
    </row>
    <row r="61" spans="1:38" ht="15" customHeight="1">
      <c r="A61" s="1484"/>
      <c r="B61" s="1484"/>
      <c r="C61" s="1515"/>
      <c r="D61" s="1515"/>
      <c r="E61" s="1515"/>
      <c r="F61" s="1515"/>
      <c r="G61" s="1484"/>
      <c r="H61" s="1515"/>
      <c r="I61" s="1484"/>
      <c r="J61" s="1484"/>
      <c r="K61" s="1484"/>
      <c r="L61" s="1484"/>
      <c r="M61" s="1484"/>
      <c r="S61" s="559"/>
    </row>
    <row r="62" spans="1:38" ht="12.75" customHeight="1">
      <c r="A62" s="615"/>
      <c r="B62" s="615"/>
      <c r="C62" s="614"/>
      <c r="D62" s="614"/>
      <c r="E62" s="614"/>
      <c r="F62" s="614"/>
      <c r="G62" s="615"/>
      <c r="H62" s="614"/>
      <c r="I62" s="615"/>
      <c r="J62" s="615"/>
      <c r="K62" s="615"/>
      <c r="L62" s="615"/>
      <c r="M62" s="615"/>
      <c r="N62" s="504"/>
      <c r="S62" s="559"/>
    </row>
    <row r="63" spans="1:38" ht="15" customHeight="1">
      <c r="C63" s="490"/>
      <c r="D63" s="499"/>
      <c r="E63" s="498"/>
      <c r="F63" s="498"/>
      <c r="G63" s="498"/>
      <c r="H63" s="495"/>
      <c r="I63" s="495"/>
      <c r="J63" s="495"/>
      <c r="K63" s="495"/>
      <c r="L63" s="506"/>
      <c r="M63" s="506"/>
    </row>
    <row r="67" spans="15:23" ht="15" customHeight="1">
      <c r="W67" s="578"/>
    </row>
    <row r="70" spans="15:23" ht="15" customHeight="1">
      <c r="O70" s="490"/>
    </row>
    <row r="74" spans="15:23" ht="15" customHeight="1">
      <c r="O74" s="83" t="s">
        <v>240</v>
      </c>
    </row>
    <row r="75" spans="15:23" ht="15" customHeight="1">
      <c r="O75" s="579" t="s">
        <v>54</v>
      </c>
    </row>
    <row r="76" spans="15:23" ht="15" customHeight="1">
      <c r="O76" s="83" t="s">
        <v>151</v>
      </c>
    </row>
    <row r="77" spans="15:23" ht="15" customHeight="1">
      <c r="O77" s="83" t="s">
        <v>441</v>
      </c>
    </row>
    <row r="78" spans="15:23" ht="15" customHeight="1">
      <c r="O78" s="83" t="s">
        <v>444</v>
      </c>
      <c r="P78" s="580"/>
    </row>
    <row r="79" spans="15:23" ht="15" customHeight="1">
      <c r="O79" s="83" t="s">
        <v>445</v>
      </c>
    </row>
    <row r="80" spans="15:23" ht="15" customHeight="1">
      <c r="O80" s="83" t="s">
        <v>1500</v>
      </c>
    </row>
  </sheetData>
  <sheetProtection algorithmName="SHA-512" hashValue="jVf1guNxDcGRqVh4TEm+Zdl0Q6mJX1dyrLOP6plUZ27xDWMwpj0pnedhbF5ZT84vShy9PBl1CpJ5nEo3RyHH9g==" saltValue="RC7m3qGeyS6K4iNbXXcbXA==" spinCount="100000" sheet="1" objects="1" scenarios="1"/>
  <customSheetViews>
    <customSheetView guid="{06451E13-97D0-44F4-875B-E8D80B2F1CF1}" showPageBreaks="1" fitToPage="1" printArea="1" hiddenRows="1" view="pageBreakPreview" topLeftCell="A25">
      <selection activeCell="Q66" sqref="Q66"/>
      <pageMargins left="0" right="0" top="0" bottom="0" header="0" footer="0"/>
      <printOptions horizontalCentered="1" verticalCentered="1"/>
      <pageSetup paperSize="9" scale="79" orientation="landscape" r:id="rId1"/>
      <headerFooter scaleWithDoc="0" alignWithMargins="0">
        <oddFooter>&amp;C&amp;"Arial,標準"&amp;12 22</oddFooter>
      </headerFooter>
    </customSheetView>
  </customSheetViews>
  <mergeCells count="9">
    <mergeCell ref="AD5:AE7"/>
    <mergeCell ref="B5:E7"/>
    <mergeCell ref="O5:P7"/>
    <mergeCell ref="F6:F7"/>
    <mergeCell ref="G6:G7"/>
    <mergeCell ref="H6:H7"/>
    <mergeCell ref="I6:I7"/>
    <mergeCell ref="J6:J7"/>
    <mergeCell ref="K6:K7"/>
  </mergeCells>
  <phoneticPr fontId="29"/>
  <conditionalFormatting sqref="Q15:V15">
    <cfRule type="cellIs" dxfId="7" priority="7" stopIfTrue="1" operator="notEqual">
      <formula>SUM(Q9:Q14)</formula>
    </cfRule>
  </conditionalFormatting>
  <conditionalFormatting sqref="Q19:V19">
    <cfRule type="cellIs" dxfId="6" priority="8" stopIfTrue="1" operator="notEqual">
      <formula>SUM(Q17:Q18)</formula>
    </cfRule>
  </conditionalFormatting>
  <conditionalFormatting sqref="Q31:V31">
    <cfRule type="cellIs" dxfId="5" priority="9" stopIfTrue="1" operator="notEqual">
      <formula>Q31</formula>
    </cfRule>
  </conditionalFormatting>
  <conditionalFormatting sqref="Q25:V25">
    <cfRule type="cellIs" dxfId="4" priority="6" stopIfTrue="1" operator="notEqual">
      <formula>SUM(Q21:Q22)</formula>
    </cfRule>
  </conditionalFormatting>
  <conditionalFormatting sqref="AF15:AK15">
    <cfRule type="cellIs" dxfId="3" priority="2" stopIfTrue="1" operator="notEqual">
      <formula>SUM(AF9:AF14)</formula>
    </cfRule>
  </conditionalFormatting>
  <conditionalFormatting sqref="AF19:AK19">
    <cfRule type="cellIs" dxfId="2" priority="3" stopIfTrue="1" operator="notEqual">
      <formula>SUM(AF17:AF18)</formula>
    </cfRule>
  </conditionalFormatting>
  <conditionalFormatting sqref="AF31:AK31">
    <cfRule type="cellIs" dxfId="1" priority="4" stopIfTrue="1" operator="notEqual">
      <formula>AF31</formula>
    </cfRule>
  </conditionalFormatting>
  <conditionalFormatting sqref="AF25:AK25">
    <cfRule type="cellIs" dxfId="0" priority="1" stopIfTrue="1" operator="notEqual">
      <formula>SUM(AF21:AF22)</formula>
    </cfRule>
  </conditionalFormatting>
  <hyperlinks>
    <hyperlink ref="X48" r:id="rId2"/>
  </hyperlinks>
  <printOptions horizontalCentered="1" verticalCentered="1"/>
  <pageMargins left="0" right="0" top="0" bottom="0" header="0" footer="0"/>
  <pageSetup paperSize="9" scale="82" orientation="landscape" r:id="rId3"/>
  <headerFooter scaleWithDoc="0" alignWithMargins="0">
    <oddFooter>&amp;C&amp;"Arial,標準"&amp;12 22</oddFooter>
  </headerFooter>
  <drawing r:id="rId4"/>
  <legacyDrawing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P69"/>
  <sheetViews>
    <sheetView view="pageBreakPreview" zoomScale="70" zoomScaleNormal="85" zoomScaleSheetLayoutView="70" workbookViewId="0">
      <selection activeCell="B21" sqref="B21"/>
    </sheetView>
  </sheetViews>
  <sheetFormatPr defaultColWidth="9.140625" defaultRowHeight="12"/>
  <cols>
    <col min="1" max="1" width="10.140625" style="80" customWidth="1"/>
    <col min="2" max="2" width="2.85546875" style="80" customWidth="1"/>
    <col min="3" max="3" width="5" style="77" customWidth="1"/>
    <col min="4" max="4" width="2.5703125" style="80" customWidth="1"/>
    <col min="5" max="6" width="9.140625" style="80"/>
    <col min="7" max="7" width="9.140625" style="80" customWidth="1"/>
    <col min="8" max="8" width="9.140625" style="80"/>
    <col min="9" max="10" width="11.140625" style="80" customWidth="1"/>
    <col min="11" max="11" width="12.85546875" style="80" customWidth="1"/>
    <col min="12" max="13" width="2.5703125" style="80" customWidth="1"/>
    <col min="14" max="14" width="67.140625" style="80" customWidth="1"/>
    <col min="15" max="15" width="10.5703125" style="80" customWidth="1"/>
    <col min="16" max="16" width="4.85546875" style="80" customWidth="1"/>
    <col min="17" max="18" width="8.140625" style="80" customWidth="1"/>
    <col min="19" max="19" width="7.5703125" style="80" customWidth="1"/>
    <col min="20" max="16384" width="9.140625" style="80"/>
  </cols>
  <sheetData>
    <row r="1" spans="1:16" ht="54" customHeight="1">
      <c r="A1" s="581"/>
      <c r="B1" s="581"/>
      <c r="C1" s="583"/>
      <c r="D1" s="581"/>
      <c r="E1" s="581"/>
      <c r="F1" s="581"/>
      <c r="G1" s="581"/>
      <c r="H1" s="581"/>
      <c r="I1" s="581"/>
      <c r="J1" s="581"/>
      <c r="K1" s="581"/>
      <c r="L1" s="581"/>
      <c r="M1" s="581"/>
      <c r="N1" s="581"/>
      <c r="O1" s="581"/>
    </row>
    <row r="2" spans="1:16" ht="15" customHeight="1">
      <c r="A2" s="585"/>
      <c r="B2" s="585"/>
      <c r="C2" s="586"/>
      <c r="D2" s="585"/>
      <c r="E2" s="585"/>
      <c r="F2" s="581"/>
      <c r="G2" s="581"/>
      <c r="H2" s="581"/>
      <c r="I2" s="581"/>
      <c r="J2" s="581"/>
      <c r="K2" s="581"/>
      <c r="L2" s="581"/>
      <c r="M2" s="581"/>
      <c r="N2" s="581"/>
      <c r="O2" s="581"/>
    </row>
    <row r="3" spans="1:16" ht="48" customHeight="1">
      <c r="A3" s="581"/>
      <c r="B3" s="581"/>
      <c r="C3" s="583"/>
      <c r="D3" s="581"/>
      <c r="E3" s="581"/>
      <c r="F3" s="581"/>
      <c r="G3" s="581"/>
      <c r="H3" s="581"/>
      <c r="I3" s="581"/>
      <c r="J3" s="581"/>
      <c r="K3" s="581"/>
      <c r="L3" s="581"/>
      <c r="M3" s="581"/>
      <c r="N3" s="581"/>
      <c r="O3" s="581"/>
    </row>
    <row r="4" spans="1:16" s="78" customFormat="1" ht="15" customHeight="1">
      <c r="A4" s="581"/>
      <c r="B4" s="588" t="s">
        <v>56</v>
      </c>
      <c r="C4" s="583"/>
      <c r="D4" s="581"/>
      <c r="E4" s="581"/>
      <c r="F4" s="581"/>
      <c r="G4" s="581"/>
      <c r="H4" s="581"/>
      <c r="I4" s="581"/>
      <c r="J4" s="581"/>
      <c r="K4" s="581"/>
      <c r="L4" s="581"/>
      <c r="M4" s="581"/>
      <c r="N4" s="581"/>
      <c r="O4" s="581"/>
    </row>
    <row r="5" spans="1:16" s="78" customFormat="1" ht="12.75" customHeight="1">
      <c r="A5" s="581"/>
      <c r="B5" s="581"/>
      <c r="C5" s="583"/>
      <c r="D5" s="581"/>
      <c r="E5" s="581"/>
      <c r="F5" s="581"/>
      <c r="G5" s="581"/>
      <c r="H5" s="581"/>
      <c r="I5" s="581"/>
      <c r="J5" s="581"/>
      <c r="K5" s="581"/>
      <c r="L5" s="581"/>
      <c r="M5" s="584"/>
      <c r="N5" s="584"/>
      <c r="O5" s="582"/>
    </row>
    <row r="6" spans="1:16" s="78" customFormat="1" ht="15" customHeight="1">
      <c r="A6" s="581"/>
      <c r="B6" s="581"/>
      <c r="C6" s="587" t="s">
        <v>214</v>
      </c>
      <c r="D6" s="581" t="s">
        <v>456</v>
      </c>
      <c r="E6" s="581"/>
      <c r="F6" s="581"/>
      <c r="G6" s="581"/>
      <c r="H6" s="581"/>
      <c r="I6" s="581"/>
      <c r="J6" s="581"/>
      <c r="K6" s="581"/>
      <c r="L6" s="584"/>
      <c r="M6" s="581"/>
      <c r="N6" s="584"/>
      <c r="O6" s="581"/>
    </row>
    <row r="7" spans="1:16" s="78" customFormat="1" ht="15" customHeight="1">
      <c r="A7" s="581"/>
      <c r="B7" s="581"/>
      <c r="C7" s="587" t="s">
        <v>229</v>
      </c>
      <c r="D7" s="581" t="s">
        <v>457</v>
      </c>
      <c r="E7" s="581"/>
      <c r="F7" s="581"/>
      <c r="G7" s="581"/>
      <c r="H7" s="581"/>
      <c r="I7" s="581"/>
      <c r="J7" s="581"/>
      <c r="K7" s="581"/>
      <c r="L7" s="581"/>
      <c r="M7" s="581"/>
      <c r="N7" s="584"/>
      <c r="O7" s="581"/>
    </row>
    <row r="8" spans="1:16" s="78" customFormat="1" ht="15" customHeight="1">
      <c r="A8" s="581"/>
      <c r="B8" s="581"/>
      <c r="C8" s="587" t="s">
        <v>230</v>
      </c>
      <c r="D8" s="581" t="s">
        <v>458</v>
      </c>
      <c r="E8" s="581"/>
      <c r="F8" s="581"/>
      <c r="G8" s="581"/>
      <c r="H8" s="581"/>
      <c r="I8" s="581"/>
      <c r="J8" s="581"/>
      <c r="K8" s="581"/>
      <c r="L8" s="584"/>
      <c r="M8" s="581"/>
      <c r="N8" s="584"/>
      <c r="O8" s="581"/>
    </row>
    <row r="9" spans="1:16" s="78" customFormat="1" ht="15" customHeight="1">
      <c r="A9" s="581"/>
      <c r="B9" s="581"/>
      <c r="C9" s="587" t="s">
        <v>231</v>
      </c>
      <c r="D9" s="581" t="s">
        <v>459</v>
      </c>
      <c r="E9" s="581"/>
      <c r="F9" s="581"/>
      <c r="G9" s="581"/>
      <c r="H9" s="581"/>
      <c r="I9" s="581"/>
      <c r="J9" s="581"/>
      <c r="K9" s="581"/>
      <c r="L9" s="584"/>
      <c r="M9" s="581"/>
      <c r="N9" s="584"/>
      <c r="O9" s="582"/>
    </row>
    <row r="10" spans="1:16" s="78" customFormat="1" ht="15" customHeight="1">
      <c r="A10" s="581"/>
      <c r="B10" s="581"/>
      <c r="C10" s="587" t="s">
        <v>232</v>
      </c>
      <c r="D10" s="581" t="s">
        <v>185</v>
      </c>
      <c r="E10" s="581"/>
      <c r="F10" s="581"/>
      <c r="G10" s="581"/>
      <c r="H10" s="581"/>
      <c r="I10" s="581"/>
      <c r="J10" s="581"/>
      <c r="K10" s="581"/>
      <c r="L10" s="584"/>
      <c r="M10" s="581"/>
      <c r="N10" s="584"/>
      <c r="O10" s="582"/>
    </row>
    <row r="11" spans="1:16" s="78" customFormat="1" ht="15" customHeight="1">
      <c r="A11" s="581"/>
      <c r="B11" s="581"/>
      <c r="C11" s="587"/>
      <c r="D11" s="581" t="s">
        <v>516</v>
      </c>
      <c r="E11" s="581"/>
      <c r="F11" s="581"/>
      <c r="G11" s="581"/>
      <c r="H11" s="581"/>
      <c r="I11" s="581"/>
      <c r="J11" s="581"/>
      <c r="K11" s="581"/>
      <c r="L11" s="584"/>
      <c r="M11" s="581"/>
      <c r="N11" s="584"/>
      <c r="O11" s="582"/>
    </row>
    <row r="12" spans="1:16" s="78" customFormat="1" ht="15" customHeight="1">
      <c r="A12" s="581"/>
      <c r="B12" s="581"/>
      <c r="C12" s="587" t="s">
        <v>233</v>
      </c>
      <c r="D12" s="581" t="s">
        <v>460</v>
      </c>
      <c r="E12" s="581"/>
      <c r="F12" s="581"/>
      <c r="G12" s="581"/>
      <c r="H12" s="581"/>
      <c r="I12" s="581"/>
      <c r="J12" s="581"/>
      <c r="K12" s="581"/>
      <c r="L12" s="584"/>
      <c r="M12" s="581"/>
      <c r="N12" s="584"/>
      <c r="O12" s="582"/>
    </row>
    <row r="13" spans="1:16" s="78" customFormat="1" ht="15" customHeight="1">
      <c r="A13" s="581"/>
      <c r="B13" s="581"/>
      <c r="C13" s="587" t="s">
        <v>4</v>
      </c>
      <c r="D13" s="581" t="s">
        <v>1137</v>
      </c>
      <c r="E13" s="581"/>
      <c r="F13" s="581"/>
      <c r="G13" s="581"/>
      <c r="H13" s="581"/>
      <c r="I13" s="581"/>
      <c r="J13" s="581"/>
      <c r="K13" s="581"/>
      <c r="L13" s="584"/>
      <c r="M13" s="581"/>
      <c r="N13" s="584"/>
      <c r="O13" s="582"/>
    </row>
    <row r="14" spans="1:16" s="78" customFormat="1" ht="15" customHeight="1">
      <c r="A14" s="581"/>
      <c r="B14" s="581"/>
      <c r="C14" s="587" t="s">
        <v>235</v>
      </c>
      <c r="D14" s="581" t="s">
        <v>461</v>
      </c>
      <c r="E14" s="581"/>
      <c r="F14" s="581"/>
      <c r="G14" s="581"/>
      <c r="H14" s="581"/>
      <c r="I14" s="581"/>
      <c r="J14" s="581"/>
      <c r="K14" s="581"/>
      <c r="L14" s="584"/>
      <c r="M14" s="581"/>
      <c r="N14" s="584"/>
      <c r="O14" s="582"/>
    </row>
    <row r="15" spans="1:16" s="78" customFormat="1" ht="15" customHeight="1">
      <c r="A15" s="581"/>
      <c r="B15" s="581"/>
      <c r="C15" s="587" t="s">
        <v>236</v>
      </c>
      <c r="D15" s="581" t="s">
        <v>462</v>
      </c>
      <c r="E15" s="581"/>
      <c r="F15" s="581"/>
      <c r="G15" s="581"/>
      <c r="H15" s="581"/>
      <c r="I15" s="581"/>
      <c r="J15" s="581"/>
      <c r="K15" s="581"/>
      <c r="L15" s="584"/>
      <c r="M15" s="581"/>
      <c r="N15" s="584"/>
      <c r="O15" s="582"/>
      <c r="P15" s="2058"/>
    </row>
    <row r="16" spans="1:16" s="78" customFormat="1" ht="15" customHeight="1">
      <c r="A16" s="581"/>
      <c r="B16" s="581"/>
      <c r="C16" s="587" t="s">
        <v>237</v>
      </c>
      <c r="D16" s="581" t="s">
        <v>463</v>
      </c>
      <c r="E16" s="581"/>
      <c r="F16" s="581"/>
      <c r="G16" s="581"/>
      <c r="H16" s="581"/>
      <c r="I16" s="581"/>
      <c r="J16" s="581"/>
      <c r="K16" s="581"/>
      <c r="L16" s="584"/>
      <c r="M16" s="581"/>
      <c r="N16" s="584"/>
      <c r="O16" s="581"/>
    </row>
    <row r="17" spans="1:15" s="78" customFormat="1" ht="15" customHeight="1">
      <c r="A17" s="581"/>
      <c r="B17" s="581"/>
      <c r="C17" s="587" t="s">
        <v>238</v>
      </c>
      <c r="D17" s="581" t="s">
        <v>301</v>
      </c>
      <c r="E17" s="581"/>
      <c r="F17" s="581"/>
      <c r="G17" s="581"/>
      <c r="H17" s="581"/>
      <c r="I17" s="581"/>
      <c r="J17" s="581"/>
      <c r="K17" s="581"/>
      <c r="L17" s="584"/>
      <c r="M17" s="581"/>
      <c r="N17" s="584"/>
      <c r="O17" s="582"/>
    </row>
    <row r="18" spans="1:15" s="78" customFormat="1" ht="15" customHeight="1">
      <c r="A18" s="581"/>
      <c r="B18" s="581"/>
      <c r="C18" s="587" t="s">
        <v>239</v>
      </c>
      <c r="D18" s="581" t="s">
        <v>1141</v>
      </c>
      <c r="E18" s="581"/>
      <c r="F18" s="581"/>
      <c r="G18" s="581"/>
      <c r="H18" s="581"/>
      <c r="I18" s="581"/>
      <c r="J18" s="581"/>
      <c r="K18" s="581"/>
      <c r="L18" s="584"/>
      <c r="M18" s="581"/>
      <c r="N18" s="584"/>
      <c r="O18" s="582"/>
    </row>
    <row r="19" spans="1:15" s="78" customFormat="1" ht="15" customHeight="1">
      <c r="A19" s="581"/>
      <c r="B19" s="581"/>
      <c r="C19" s="583"/>
      <c r="D19" s="581"/>
      <c r="E19" s="581"/>
      <c r="F19" s="581"/>
      <c r="G19" s="581"/>
      <c r="H19" s="581"/>
      <c r="I19" s="581"/>
      <c r="J19" s="581"/>
      <c r="K19" s="581"/>
      <c r="L19" s="584"/>
      <c r="M19" s="584"/>
      <c r="N19" s="584"/>
      <c r="O19" s="582"/>
    </row>
    <row r="20" spans="1:15" s="78" customFormat="1" ht="15" customHeight="1">
      <c r="A20" s="581"/>
      <c r="B20" s="581"/>
      <c r="C20" s="583"/>
      <c r="D20" s="581"/>
      <c r="E20" s="581"/>
      <c r="F20" s="581"/>
      <c r="G20" s="581"/>
      <c r="H20" s="581"/>
      <c r="I20" s="581"/>
      <c r="J20" s="581"/>
      <c r="K20" s="581"/>
      <c r="L20" s="584"/>
      <c r="M20" s="584"/>
      <c r="N20" s="584"/>
      <c r="O20" s="582"/>
    </row>
    <row r="21" spans="1:15" s="78" customFormat="1" ht="12.95" customHeight="1">
      <c r="A21" s="581"/>
      <c r="B21" s="1532" t="s">
        <v>1723</v>
      </c>
      <c r="C21" s="677"/>
      <c r="D21" s="668"/>
      <c r="E21" s="668"/>
      <c r="F21" s="668"/>
      <c r="G21" s="668"/>
      <c r="H21" s="668"/>
      <c r="I21" s="668"/>
      <c r="J21" s="668"/>
      <c r="K21" s="668"/>
      <c r="L21" s="1533"/>
      <c r="M21" s="1533"/>
      <c r="N21" s="1533"/>
      <c r="O21" s="783"/>
    </row>
    <row r="22" spans="1:15" s="78" customFormat="1" ht="12.95" customHeight="1">
      <c r="A22" s="581"/>
      <c r="B22" s="668"/>
      <c r="C22" s="677"/>
      <c r="D22" s="668"/>
      <c r="E22" s="668"/>
      <c r="F22" s="668"/>
      <c r="G22" s="668"/>
      <c r="H22" s="668"/>
      <c r="I22" s="668"/>
      <c r="J22" s="668"/>
      <c r="K22" s="668"/>
      <c r="L22" s="1533"/>
      <c r="M22" s="1533"/>
      <c r="N22" s="1533"/>
      <c r="O22" s="783"/>
    </row>
    <row r="23" spans="1:15" s="78" customFormat="1" ht="12.95" customHeight="1">
      <c r="A23" s="581"/>
      <c r="B23" s="668"/>
      <c r="C23" s="1534" t="s">
        <v>214</v>
      </c>
      <c r="D23" s="2640" t="s">
        <v>1142</v>
      </c>
      <c r="E23" s="2640"/>
      <c r="F23" s="2640"/>
      <c r="G23" s="2640"/>
      <c r="H23" s="2640"/>
      <c r="I23" s="2640"/>
      <c r="J23" s="2640"/>
      <c r="K23" s="2640"/>
      <c r="L23" s="2640"/>
      <c r="M23" s="2640"/>
      <c r="N23" s="2640"/>
      <c r="O23" s="2640"/>
    </row>
    <row r="24" spans="1:15" s="78" customFormat="1" ht="12.95" customHeight="1">
      <c r="A24" s="581"/>
      <c r="B24" s="668"/>
      <c r="C24" s="1534" t="s">
        <v>229</v>
      </c>
      <c r="D24" s="2640" t="s">
        <v>1143</v>
      </c>
      <c r="E24" s="2640"/>
      <c r="F24" s="2640"/>
      <c r="G24" s="2640"/>
      <c r="H24" s="2640"/>
      <c r="I24" s="2640"/>
      <c r="J24" s="2640"/>
      <c r="K24" s="2640"/>
      <c r="L24" s="2640"/>
      <c r="M24" s="2640"/>
      <c r="N24" s="2640"/>
      <c r="O24" s="2640"/>
    </row>
    <row r="25" spans="1:15" s="78" customFormat="1" ht="12.95" customHeight="1">
      <c r="A25" s="581"/>
      <c r="B25" s="668"/>
      <c r="C25" s="1534" t="s">
        <v>230</v>
      </c>
      <c r="D25" s="2640" t="s">
        <v>981</v>
      </c>
      <c r="E25" s="2640"/>
      <c r="F25" s="2640"/>
      <c r="G25" s="2640"/>
      <c r="H25" s="2640"/>
      <c r="I25" s="2640"/>
      <c r="J25" s="2640"/>
      <c r="K25" s="2640"/>
      <c r="L25" s="2640"/>
      <c r="M25" s="2640"/>
      <c r="N25" s="2640"/>
      <c r="O25" s="2640"/>
    </row>
    <row r="26" spans="1:15" s="78" customFormat="1" ht="12.95" customHeight="1">
      <c r="A26" s="581"/>
      <c r="B26" s="668"/>
      <c r="C26" s="1534" t="s">
        <v>231</v>
      </c>
      <c r="D26" s="2640" t="s">
        <v>982</v>
      </c>
      <c r="E26" s="2640"/>
      <c r="F26" s="2640"/>
      <c r="G26" s="2640"/>
      <c r="H26" s="2640"/>
      <c r="I26" s="2640"/>
      <c r="J26" s="2640"/>
      <c r="K26" s="2640"/>
      <c r="L26" s="2640"/>
      <c r="M26" s="2640"/>
      <c r="N26" s="2640"/>
      <c r="O26" s="2640"/>
    </row>
    <row r="27" spans="1:15" s="78" customFormat="1" ht="12.95" customHeight="1">
      <c r="A27" s="581"/>
      <c r="B27" s="668"/>
      <c r="C27" s="1534" t="s">
        <v>232</v>
      </c>
      <c r="D27" s="2640" t="s">
        <v>1416</v>
      </c>
      <c r="E27" s="2640"/>
      <c r="F27" s="2640"/>
      <c r="G27" s="2640"/>
      <c r="H27" s="2640"/>
      <c r="I27" s="2640"/>
      <c r="J27" s="2640"/>
      <c r="K27" s="2640"/>
      <c r="L27" s="2640"/>
      <c r="M27" s="2640"/>
      <c r="N27" s="2640"/>
      <c r="O27" s="2640"/>
    </row>
    <row r="28" spans="1:15" s="78" customFormat="1" ht="12.95" customHeight="1">
      <c r="A28" s="581"/>
      <c r="B28" s="668"/>
      <c r="C28" s="1534"/>
      <c r="D28" s="668" t="s">
        <v>1555</v>
      </c>
      <c r="E28" s="1533"/>
      <c r="F28" s="1533"/>
      <c r="G28" s="1533"/>
      <c r="H28" s="1533"/>
      <c r="I28" s="1533"/>
      <c r="J28" s="1533"/>
      <c r="K28" s="1533"/>
      <c r="L28" s="1533"/>
      <c r="M28" s="1533"/>
      <c r="N28" s="1533"/>
      <c r="O28" s="1533"/>
    </row>
    <row r="29" spans="1:15" s="78" customFormat="1" ht="12.95" customHeight="1">
      <c r="A29" s="581"/>
      <c r="B29" s="668"/>
      <c r="C29" s="1534" t="s">
        <v>233</v>
      </c>
      <c r="D29" s="2640" t="s">
        <v>1139</v>
      </c>
      <c r="E29" s="2640"/>
      <c r="F29" s="2640"/>
      <c r="G29" s="2640"/>
      <c r="H29" s="2640"/>
      <c r="I29" s="2640"/>
      <c r="J29" s="2640"/>
      <c r="K29" s="2640"/>
      <c r="L29" s="2640"/>
      <c r="M29" s="2640"/>
      <c r="N29" s="2640"/>
      <c r="O29" s="2640"/>
    </row>
    <row r="30" spans="1:15" s="78" customFormat="1" ht="12.95" customHeight="1">
      <c r="A30" s="581"/>
      <c r="B30" s="668"/>
      <c r="C30" s="1534" t="s">
        <v>234</v>
      </c>
      <c r="D30" s="2640" t="s">
        <v>1140</v>
      </c>
      <c r="E30" s="2640"/>
      <c r="F30" s="2640"/>
      <c r="G30" s="2640"/>
      <c r="H30" s="2640"/>
      <c r="I30" s="2640"/>
      <c r="J30" s="2640"/>
      <c r="K30" s="2640"/>
      <c r="L30" s="2640"/>
      <c r="M30" s="2640"/>
      <c r="N30" s="2640"/>
      <c r="O30" s="2640"/>
    </row>
    <row r="31" spans="1:15" s="78" customFormat="1" ht="12.95" customHeight="1">
      <c r="A31" s="581"/>
      <c r="B31" s="668"/>
      <c r="C31" s="1534" t="s">
        <v>235</v>
      </c>
      <c r="D31" s="2640" t="s">
        <v>983</v>
      </c>
      <c r="E31" s="2640"/>
      <c r="F31" s="2640"/>
      <c r="G31" s="2640"/>
      <c r="H31" s="2640"/>
      <c r="I31" s="2640"/>
      <c r="J31" s="2640"/>
      <c r="K31" s="2640"/>
      <c r="L31" s="2640"/>
      <c r="M31" s="2640"/>
      <c r="N31" s="2640"/>
      <c r="O31" s="2640"/>
    </row>
    <row r="32" spans="1:15" s="78" customFormat="1" ht="12.95" customHeight="1">
      <c r="A32" s="581"/>
      <c r="B32" s="668"/>
      <c r="C32" s="1534" t="s">
        <v>236</v>
      </c>
      <c r="D32" s="2640" t="s">
        <v>984</v>
      </c>
      <c r="E32" s="2640"/>
      <c r="F32" s="2640"/>
      <c r="G32" s="2640"/>
      <c r="H32" s="2640"/>
      <c r="I32" s="2640"/>
      <c r="J32" s="2640"/>
      <c r="K32" s="2640"/>
      <c r="L32" s="2640"/>
      <c r="M32" s="2640"/>
      <c r="N32" s="2640"/>
      <c r="O32" s="2640"/>
    </row>
    <row r="33" spans="1:15" s="78" customFormat="1" ht="12.95" customHeight="1">
      <c r="A33" s="581"/>
      <c r="B33" s="668"/>
      <c r="C33" s="1534" t="s">
        <v>237</v>
      </c>
      <c r="D33" s="2640" t="s">
        <v>1138</v>
      </c>
      <c r="E33" s="2640"/>
      <c r="F33" s="2640"/>
      <c r="G33" s="2640"/>
      <c r="H33" s="2640"/>
      <c r="I33" s="2640"/>
      <c r="J33" s="2640"/>
      <c r="K33" s="2640"/>
      <c r="L33" s="2640"/>
      <c r="M33" s="2640"/>
      <c r="N33" s="2640"/>
      <c r="O33" s="2640"/>
    </row>
    <row r="34" spans="1:15" s="78" customFormat="1" ht="12.95" customHeight="1">
      <c r="A34" s="581"/>
      <c r="B34" s="668"/>
      <c r="C34" s="1534" t="s">
        <v>238</v>
      </c>
      <c r="D34" s="2640" t="s">
        <v>985</v>
      </c>
      <c r="E34" s="2640"/>
      <c r="F34" s="2640"/>
      <c r="G34" s="2640"/>
      <c r="H34" s="2640"/>
      <c r="I34" s="2640"/>
      <c r="J34" s="2640"/>
      <c r="K34" s="2640"/>
      <c r="L34" s="2640"/>
      <c r="M34" s="2640"/>
      <c r="N34" s="2640"/>
      <c r="O34" s="2640"/>
    </row>
    <row r="35" spans="1:15" s="78" customFormat="1" ht="12.95" customHeight="1">
      <c r="A35" s="581"/>
      <c r="B35" s="668"/>
      <c r="C35" s="1534" t="s">
        <v>239</v>
      </c>
      <c r="D35" s="2640" t="s">
        <v>1144</v>
      </c>
      <c r="E35" s="2640"/>
      <c r="F35" s="2640"/>
      <c r="G35" s="2640"/>
      <c r="H35" s="2640"/>
      <c r="I35" s="2640"/>
      <c r="J35" s="2640"/>
      <c r="K35" s="2640"/>
      <c r="L35" s="2640"/>
      <c r="M35" s="2640"/>
      <c r="N35" s="2640"/>
      <c r="O35" s="2640"/>
    </row>
    <row r="36" spans="1:15" ht="12.95" customHeight="1">
      <c r="A36" s="581"/>
      <c r="B36" s="581"/>
      <c r="C36" s="583"/>
      <c r="D36" s="581"/>
      <c r="E36" s="581"/>
      <c r="F36" s="581"/>
      <c r="G36" s="581"/>
      <c r="H36" s="581"/>
      <c r="I36" s="581"/>
      <c r="J36" s="581"/>
      <c r="K36" s="581"/>
      <c r="L36" s="581"/>
      <c r="M36" s="581"/>
      <c r="N36" s="581"/>
      <c r="O36" s="581"/>
    </row>
    <row r="37" spans="1:15" ht="12.95" customHeight="1">
      <c r="A37" s="581"/>
      <c r="B37" s="581"/>
      <c r="C37" s="583"/>
      <c r="D37" s="581"/>
      <c r="E37" s="581"/>
      <c r="F37" s="581"/>
      <c r="G37" s="581"/>
      <c r="H37" s="581"/>
      <c r="I37" s="581"/>
      <c r="J37" s="581"/>
      <c r="K37" s="581"/>
      <c r="L37" s="581"/>
      <c r="M37" s="581"/>
      <c r="N37" s="581"/>
      <c r="O37" s="581"/>
    </row>
    <row r="38" spans="1:15" ht="12.95" customHeight="1">
      <c r="A38" s="581"/>
      <c r="B38" s="581"/>
      <c r="C38" s="583"/>
      <c r="D38" s="581"/>
      <c r="E38" s="581"/>
      <c r="F38" s="581"/>
      <c r="G38" s="581"/>
      <c r="H38" s="581"/>
      <c r="I38" s="581"/>
      <c r="J38" s="581"/>
      <c r="K38" s="581"/>
      <c r="L38" s="581"/>
      <c r="M38" s="581"/>
      <c r="N38" s="581"/>
      <c r="O38" s="581"/>
    </row>
    <row r="39" spans="1:15" ht="12.95" customHeight="1">
      <c r="A39" s="581"/>
      <c r="B39" s="581"/>
      <c r="C39" s="583"/>
      <c r="D39" s="581"/>
      <c r="E39" s="581"/>
      <c r="F39" s="581"/>
      <c r="G39" s="581"/>
      <c r="H39" s="581"/>
      <c r="I39" s="581"/>
      <c r="J39" s="581"/>
      <c r="K39" s="581"/>
      <c r="L39" s="581"/>
      <c r="M39" s="581"/>
      <c r="N39" s="581"/>
      <c r="O39" s="581"/>
    </row>
    <row r="40" spans="1:15" ht="12.95" customHeight="1">
      <c r="A40" s="581"/>
      <c r="B40" s="581"/>
      <c r="C40" s="583"/>
      <c r="D40" s="581"/>
      <c r="E40" s="581"/>
      <c r="F40" s="581"/>
      <c r="G40" s="581"/>
      <c r="H40" s="581"/>
      <c r="I40" s="581"/>
      <c r="J40" s="581"/>
      <c r="K40" s="581"/>
      <c r="L40" s="581"/>
      <c r="M40" s="581"/>
      <c r="N40" s="581"/>
      <c r="O40" s="581"/>
    </row>
    <row r="41" spans="1:15" ht="12.95" customHeight="1">
      <c r="A41" s="581"/>
      <c r="B41" s="581"/>
      <c r="C41" s="583"/>
      <c r="D41" s="581"/>
      <c r="E41" s="581"/>
      <c r="F41" s="581"/>
      <c r="G41" s="581"/>
      <c r="H41" s="581"/>
      <c r="I41" s="581"/>
      <c r="J41" s="581"/>
      <c r="K41" s="581"/>
      <c r="L41" s="581"/>
      <c r="M41" s="581"/>
      <c r="N41" s="581"/>
      <c r="O41" s="581"/>
    </row>
    <row r="42" spans="1:15" ht="8.25" customHeight="1">
      <c r="A42" s="581"/>
      <c r="B42" s="581"/>
      <c r="C42" s="583"/>
      <c r="D42" s="581"/>
      <c r="E42" s="581"/>
      <c r="F42" s="581"/>
      <c r="G42" s="581"/>
      <c r="H42" s="581"/>
      <c r="I42" s="581"/>
      <c r="J42" s="581"/>
      <c r="K42" s="581"/>
      <c r="L42" s="581"/>
      <c r="M42" s="581"/>
      <c r="N42" s="581"/>
      <c r="O42" s="581"/>
    </row>
    <row r="69" ht="19.5" customHeight="1"/>
  </sheetData>
  <sheetProtection algorithmName="SHA-512" hashValue="hNqSyGKF8KyDZ+X9TLluTRbKaKt4TAf7ydXuTIOcSKaSauWqnFnY0wH6kYTdMvzMn0ZmUo5J8TSkvBZ2I4QnaQ==" saltValue="AavfZmijbeVcxCNkSzZ32Q==" spinCount="100000" sheet="1" objects="1" scenarios="1"/>
  <customSheetViews>
    <customSheetView guid="{06451E13-97D0-44F4-875B-E8D80B2F1CF1}" scale="85" showPageBreaks="1" printArea="1" view="pageBreakPreview">
      <selection activeCell="AA7" sqref="AA7:AB7"/>
      <pageMargins left="0" right="0" top="0" bottom="0" header="0" footer="0"/>
      <printOptions horizontalCentered="1" verticalCentered="1"/>
      <pageSetup paperSize="9" scale="77" orientation="landscape" r:id="rId1"/>
      <headerFooter scaleWithDoc="0" alignWithMargins="0">
        <oddFooter>&amp;C&amp;"Arial,標準"&amp;12 23</oddFooter>
      </headerFooter>
    </customSheetView>
  </customSheetViews>
  <mergeCells count="12">
    <mergeCell ref="D23:O23"/>
    <mergeCell ref="D35:O35"/>
    <mergeCell ref="D34:O34"/>
    <mergeCell ref="D33:O33"/>
    <mergeCell ref="D32:O32"/>
    <mergeCell ref="D31:O31"/>
    <mergeCell ref="D30:O30"/>
    <mergeCell ref="D29:O29"/>
    <mergeCell ref="D27:O27"/>
    <mergeCell ref="D26:O26"/>
    <mergeCell ref="D25:O25"/>
    <mergeCell ref="D24:O24"/>
  </mergeCells>
  <phoneticPr fontId="29"/>
  <printOptions horizontalCentered="1" verticalCentered="1"/>
  <pageMargins left="0" right="0" top="0" bottom="0" header="0" footer="0"/>
  <pageSetup paperSize="9" scale="77" orientation="landscape" r:id="rId2"/>
  <headerFooter scaleWithDoc="0" alignWithMargins="0">
    <oddFooter>&amp;C&amp;"Arial,標準"&amp;12 23</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W80"/>
  <sheetViews>
    <sheetView view="pageBreakPreview" zoomScale="70" zoomScaleNormal="85" zoomScaleSheetLayoutView="70" workbookViewId="0">
      <selection activeCell="A50" sqref="A50:XFD74"/>
    </sheetView>
  </sheetViews>
  <sheetFormatPr defaultColWidth="9.140625" defaultRowHeight="12" outlineLevelRow="1"/>
  <cols>
    <col min="1" max="1" width="10.140625" style="80" customWidth="1"/>
    <col min="2" max="2" width="2.28515625" style="80" customWidth="1"/>
    <col min="3" max="3" width="2.28515625" style="77" customWidth="1"/>
    <col min="4" max="5" width="2.28515625" style="80" customWidth="1"/>
    <col min="6" max="8" width="9.140625" style="80"/>
    <col min="9" max="10" width="11.140625" style="80" customWidth="1"/>
    <col min="11" max="11" width="12.85546875" style="80" customWidth="1"/>
    <col min="12" max="13" width="2.5703125" style="80" customWidth="1"/>
    <col min="14" max="14" width="78.7109375" style="80" customWidth="1"/>
    <col min="15" max="15" width="10.5703125" style="80" customWidth="1"/>
    <col min="16" max="16" width="4.85546875" style="80" customWidth="1"/>
    <col min="17" max="18" width="8.140625" style="80" customWidth="1"/>
    <col min="19" max="19" width="7.5703125" style="80" customWidth="1"/>
    <col min="20" max="20" width="9.140625" style="80"/>
    <col min="21" max="21" width="13.5703125" style="80" customWidth="1"/>
    <col min="22" max="16384" width="9.140625" style="80"/>
  </cols>
  <sheetData>
    <row r="1" spans="1:21" ht="54" customHeight="1">
      <c r="A1" s="1962"/>
      <c r="B1" s="581"/>
      <c r="C1" s="583"/>
      <c r="D1" s="581"/>
      <c r="E1" s="581"/>
      <c r="F1" s="581"/>
      <c r="G1" s="581"/>
      <c r="H1" s="581"/>
      <c r="I1" s="581"/>
      <c r="J1" s="581"/>
      <c r="K1" s="581"/>
      <c r="L1" s="581"/>
      <c r="M1" s="581"/>
      <c r="N1" s="581"/>
      <c r="O1" s="581"/>
    </row>
    <row r="2" spans="1:21" ht="15" customHeight="1">
      <c r="A2" s="585"/>
      <c r="B2" s="585"/>
      <c r="C2" s="586"/>
      <c r="D2" s="585"/>
      <c r="E2" s="585"/>
      <c r="F2" s="581"/>
      <c r="G2" s="581"/>
      <c r="H2" s="581"/>
      <c r="I2" s="581"/>
      <c r="J2" s="581"/>
      <c r="K2" s="581"/>
      <c r="L2" s="581"/>
      <c r="M2" s="581"/>
      <c r="N2" s="581"/>
      <c r="O2" s="581"/>
    </row>
    <row r="3" spans="1:21" ht="48" customHeight="1">
      <c r="A3" s="581"/>
      <c r="B3" s="581"/>
      <c r="C3" s="583"/>
      <c r="D3" s="581"/>
      <c r="E3" s="581"/>
      <c r="F3" s="581"/>
      <c r="G3" s="581"/>
      <c r="H3" s="581"/>
      <c r="I3" s="581"/>
      <c r="J3" s="581"/>
      <c r="K3" s="581"/>
      <c r="L3" s="581"/>
      <c r="M3" s="581"/>
      <c r="N3" s="581"/>
      <c r="O3" s="581"/>
    </row>
    <row r="4" spans="1:21" s="1952" customFormat="1" ht="16.5" customHeight="1">
      <c r="A4" s="1950"/>
      <c r="B4" s="1963" t="s">
        <v>1305</v>
      </c>
      <c r="C4" s="1951"/>
      <c r="D4" s="1950"/>
      <c r="E4" s="1950"/>
      <c r="F4" s="1950"/>
      <c r="G4" s="1950"/>
      <c r="H4" s="1950"/>
      <c r="I4" s="1950"/>
      <c r="J4" s="1950"/>
      <c r="K4" s="1950"/>
      <c r="L4" s="1950"/>
      <c r="M4" s="1950"/>
      <c r="N4" s="1950"/>
      <c r="O4" s="1950"/>
    </row>
    <row r="5" spans="1:21" s="78" customFormat="1" ht="14.1" customHeight="1">
      <c r="A5" s="581"/>
      <c r="B5" s="581"/>
      <c r="C5" s="583"/>
      <c r="D5" s="581"/>
      <c r="E5" s="581"/>
      <c r="F5" s="581"/>
      <c r="G5" s="581"/>
      <c r="H5" s="581"/>
      <c r="I5" s="581"/>
      <c r="J5" s="581"/>
      <c r="K5" s="581"/>
      <c r="L5" s="581"/>
      <c r="M5" s="584"/>
      <c r="N5" s="584"/>
      <c r="O5" s="582"/>
    </row>
    <row r="6" spans="1:21" s="78" customFormat="1" ht="14.1" customHeight="1">
      <c r="A6" s="1958"/>
      <c r="B6" s="1958"/>
      <c r="C6" s="1970" t="s">
        <v>1298</v>
      </c>
      <c r="D6" s="1958" t="s">
        <v>1299</v>
      </c>
      <c r="E6" s="1958"/>
      <c r="F6" s="1958"/>
      <c r="G6" s="1958"/>
      <c r="H6" s="1958"/>
      <c r="I6" s="1958"/>
      <c r="J6" s="1958"/>
      <c r="K6" s="1958"/>
      <c r="L6" s="1968"/>
      <c r="M6" s="1958"/>
      <c r="N6" s="1968"/>
      <c r="O6" s="1958"/>
      <c r="P6" s="1958"/>
      <c r="Q6" s="1958"/>
      <c r="R6" s="1958"/>
      <c r="S6" s="1958"/>
      <c r="T6" s="1958"/>
      <c r="U6" s="1958"/>
    </row>
    <row r="7" spans="1:21" s="400" customFormat="1" ht="14.1" customHeight="1">
      <c r="A7" s="1960"/>
      <c r="B7" s="1960"/>
      <c r="C7" s="1971"/>
      <c r="D7" s="1959"/>
      <c r="E7" s="1960"/>
      <c r="F7" s="1959" t="s">
        <v>1450</v>
      </c>
      <c r="G7" s="1960"/>
      <c r="H7" s="1960"/>
      <c r="I7" s="1960"/>
      <c r="J7" s="1960"/>
      <c r="K7" s="1960"/>
      <c r="L7" s="1960"/>
      <c r="M7" s="1960"/>
      <c r="N7" s="1973"/>
      <c r="O7" s="1960"/>
      <c r="P7" s="1960"/>
      <c r="Q7" s="1960"/>
      <c r="R7" s="1960"/>
      <c r="S7" s="1960"/>
      <c r="T7" s="1960"/>
      <c r="U7" s="1960"/>
    </row>
    <row r="8" spans="1:21" s="400" customFormat="1" ht="14.1" customHeight="1">
      <c r="A8" s="1960"/>
      <c r="B8" s="1960"/>
      <c r="C8" s="1971"/>
      <c r="D8" s="1959"/>
      <c r="E8" s="1960"/>
      <c r="F8" s="1959" t="s">
        <v>1300</v>
      </c>
      <c r="G8" s="1960"/>
      <c r="H8" s="1960"/>
      <c r="I8" s="1960"/>
      <c r="J8" s="1960"/>
      <c r="K8" s="1960"/>
      <c r="L8" s="1973"/>
      <c r="M8" s="1960"/>
      <c r="N8" s="1973"/>
      <c r="O8" s="1960"/>
      <c r="P8" s="1960"/>
      <c r="Q8" s="1960"/>
      <c r="R8" s="1960"/>
      <c r="S8" s="1960"/>
      <c r="T8" s="1960"/>
      <c r="U8" s="1960"/>
    </row>
    <row r="9" spans="1:21" s="400" customFormat="1" ht="14.1" customHeight="1">
      <c r="A9" s="1960"/>
      <c r="B9" s="1960"/>
      <c r="C9" s="1971"/>
      <c r="D9" s="1959"/>
      <c r="E9" s="1960"/>
      <c r="F9" s="1959" t="s">
        <v>1489</v>
      </c>
      <c r="G9" s="1960"/>
      <c r="H9" s="1960"/>
      <c r="I9" s="1960"/>
      <c r="J9" s="1960"/>
      <c r="K9" s="1960"/>
      <c r="L9" s="1973"/>
      <c r="M9" s="1960"/>
      <c r="N9" s="1973"/>
      <c r="O9" s="1960"/>
      <c r="P9" s="1960"/>
      <c r="Q9" s="1960"/>
      <c r="R9" s="1960"/>
      <c r="S9" s="1960"/>
      <c r="T9" s="1960"/>
      <c r="U9" s="1960"/>
    </row>
    <row r="10" spans="1:21" s="400" customFormat="1" ht="14.1" hidden="1" customHeight="1" outlineLevel="1">
      <c r="A10" s="1960"/>
      <c r="B10" s="1960"/>
      <c r="C10" s="1971"/>
      <c r="D10" s="1959"/>
      <c r="E10" s="1960"/>
      <c r="F10" s="1959" t="s">
        <v>1358</v>
      </c>
      <c r="G10" s="1960"/>
      <c r="H10" s="1960"/>
      <c r="I10" s="1960"/>
      <c r="J10" s="1960"/>
      <c r="K10" s="1960"/>
      <c r="L10" s="1973"/>
      <c r="M10" s="1960"/>
      <c r="N10" s="1973"/>
      <c r="O10" s="1960"/>
      <c r="P10" s="1960"/>
      <c r="Q10" s="1960"/>
      <c r="R10" s="1960"/>
      <c r="S10" s="1960"/>
      <c r="T10" s="1960"/>
      <c r="U10" s="1960"/>
    </row>
    <row r="11" spans="1:21" s="400" customFormat="1" ht="14.1" customHeight="1" collapsed="1">
      <c r="A11" s="1960"/>
      <c r="B11" s="1960"/>
      <c r="C11" s="1971"/>
      <c r="D11" s="1959"/>
      <c r="E11" s="1960"/>
      <c r="F11" s="1959" t="s">
        <v>1251</v>
      </c>
      <c r="G11" s="1960"/>
      <c r="H11" s="1960"/>
      <c r="I11" s="1960"/>
      <c r="J11" s="1960"/>
      <c r="K11" s="1960"/>
      <c r="L11" s="1973"/>
      <c r="M11" s="1960"/>
      <c r="N11" s="1973"/>
      <c r="O11" s="1974"/>
      <c r="P11" s="1960"/>
      <c r="Q11" s="1960"/>
      <c r="R11" s="1960"/>
      <c r="S11" s="1960"/>
      <c r="T11" s="1960"/>
      <c r="U11" s="1960"/>
    </row>
    <row r="12" spans="1:21" s="78" customFormat="1" ht="14.1" customHeight="1">
      <c r="A12" s="1958"/>
      <c r="B12" s="1958"/>
      <c r="C12" s="1970" t="s">
        <v>1306</v>
      </c>
      <c r="D12" s="1958" t="s">
        <v>1307</v>
      </c>
      <c r="E12" s="1958"/>
      <c r="F12" s="1958"/>
      <c r="G12" s="1958"/>
      <c r="H12" s="1958"/>
      <c r="I12" s="1958"/>
      <c r="J12" s="1958"/>
      <c r="K12" s="1958"/>
      <c r="L12" s="1968"/>
      <c r="M12" s="1958"/>
      <c r="N12" s="1968"/>
      <c r="O12" s="1969"/>
      <c r="P12" s="1958"/>
      <c r="Q12" s="1958"/>
      <c r="R12" s="1958"/>
      <c r="S12" s="1958"/>
      <c r="T12" s="1958"/>
      <c r="U12" s="1958"/>
    </row>
    <row r="13" spans="1:21" s="78" customFormat="1" ht="14.1" customHeight="1">
      <c r="A13" s="1958"/>
      <c r="B13" s="1958"/>
      <c r="C13" s="1970"/>
      <c r="D13" s="1958" t="s">
        <v>1328</v>
      </c>
      <c r="E13" s="1958"/>
      <c r="F13" s="1958"/>
      <c r="G13" s="1958"/>
      <c r="H13" s="1958"/>
      <c r="I13" s="1958"/>
      <c r="J13" s="1958"/>
      <c r="K13" s="1958"/>
      <c r="L13" s="1968"/>
      <c r="M13" s="1958"/>
      <c r="N13" s="1968"/>
      <c r="O13" s="1969"/>
      <c r="P13" s="1958"/>
      <c r="Q13" s="1958"/>
      <c r="R13" s="1958"/>
      <c r="S13" s="1958"/>
      <c r="T13" s="1958"/>
      <c r="U13" s="1958"/>
    </row>
    <row r="14" spans="1:21" s="78" customFormat="1" ht="14.1" customHeight="1">
      <c r="A14" s="1958"/>
      <c r="B14" s="1958"/>
      <c r="C14" s="1970"/>
      <c r="D14" s="1958"/>
      <c r="E14" s="1958" t="s">
        <v>1316</v>
      </c>
      <c r="F14" s="1958"/>
      <c r="G14" s="1958"/>
      <c r="H14" s="1958"/>
      <c r="I14" s="1958"/>
      <c r="J14" s="1958"/>
      <c r="K14" s="1958"/>
      <c r="L14" s="1968"/>
      <c r="M14" s="1958"/>
      <c r="N14" s="1968"/>
      <c r="O14" s="1969"/>
      <c r="P14" s="1958"/>
      <c r="Q14" s="1958"/>
      <c r="R14" s="1958"/>
      <c r="S14" s="1958"/>
      <c r="T14" s="1958"/>
      <c r="U14" s="1958"/>
    </row>
    <row r="15" spans="1:21" s="400" customFormat="1" ht="14.1" customHeight="1">
      <c r="A15" s="1960"/>
      <c r="B15" s="1960"/>
      <c r="C15" s="1971"/>
      <c r="D15" s="1960"/>
      <c r="E15" s="1960"/>
      <c r="F15" s="1976" t="s">
        <v>1309</v>
      </c>
      <c r="G15" s="1960"/>
      <c r="H15" s="1960"/>
      <c r="I15" s="1960"/>
      <c r="J15" s="1960"/>
      <c r="K15" s="1960"/>
      <c r="L15" s="1973"/>
      <c r="M15" s="1960"/>
      <c r="N15" s="1973"/>
      <c r="O15" s="1974"/>
      <c r="P15" s="1960"/>
      <c r="Q15" s="1960"/>
      <c r="R15" s="1960"/>
      <c r="S15" s="1960"/>
      <c r="T15" s="1960"/>
      <c r="U15" s="1960"/>
    </row>
    <row r="16" spans="1:21" s="400" customFormat="1" ht="14.1" customHeight="1">
      <c r="A16" s="1960"/>
      <c r="B16" s="1960"/>
      <c r="C16" s="1971"/>
      <c r="D16" s="1960"/>
      <c r="E16" s="1958" t="s">
        <v>1317</v>
      </c>
      <c r="F16" s="1976"/>
      <c r="G16" s="1960"/>
      <c r="H16" s="1960"/>
      <c r="I16" s="1960"/>
      <c r="J16" s="1960"/>
      <c r="K16" s="1960"/>
      <c r="L16" s="1973"/>
      <c r="M16" s="1960"/>
      <c r="N16" s="1960"/>
      <c r="O16" s="1974"/>
      <c r="P16" s="2057"/>
      <c r="Q16" s="1960"/>
      <c r="R16" s="1960"/>
      <c r="S16" s="1960"/>
      <c r="T16" s="1960"/>
      <c r="U16" s="1960"/>
    </row>
    <row r="17" spans="1:21" s="78" customFormat="1" ht="14.1" customHeight="1">
      <c r="A17" s="1958"/>
      <c r="B17" s="1958"/>
      <c r="C17" s="1970"/>
      <c r="D17" s="1958"/>
      <c r="E17" s="1958"/>
      <c r="F17" s="1979" t="s">
        <v>1528</v>
      </c>
      <c r="G17" s="1958"/>
      <c r="H17" s="1958"/>
      <c r="I17" s="1958"/>
      <c r="J17" s="1958"/>
      <c r="K17" s="1958"/>
      <c r="L17" s="1968"/>
      <c r="M17" s="1958"/>
      <c r="N17" s="1968"/>
      <c r="O17" s="1958"/>
      <c r="P17" s="1958"/>
      <c r="Q17" s="1958"/>
      <c r="R17" s="1958"/>
      <c r="S17" s="1958"/>
      <c r="T17" s="1958"/>
      <c r="U17" s="1958"/>
    </row>
    <row r="18" spans="1:21" s="400" customFormat="1" ht="14.1" customHeight="1">
      <c r="A18" s="1960"/>
      <c r="B18" s="1960"/>
      <c r="C18" s="1971"/>
      <c r="D18" s="1960"/>
      <c r="E18" s="1960"/>
      <c r="F18" s="1959" t="s">
        <v>1529</v>
      </c>
      <c r="G18" s="1960"/>
      <c r="H18" s="1960"/>
      <c r="I18" s="1960"/>
      <c r="J18" s="1960"/>
      <c r="K18" s="1960"/>
      <c r="L18" s="1973"/>
      <c r="M18" s="1960"/>
      <c r="N18" s="1973"/>
      <c r="O18" s="1974"/>
      <c r="P18" s="1960"/>
      <c r="Q18" s="1960"/>
      <c r="R18" s="1960"/>
      <c r="S18" s="1960"/>
      <c r="T18" s="1960"/>
      <c r="U18" s="1960"/>
    </row>
    <row r="19" spans="1:21" s="400" customFormat="1" ht="14.1" customHeight="1">
      <c r="A19" s="1960"/>
      <c r="B19" s="1960"/>
      <c r="C19" s="1971"/>
      <c r="D19" s="1960"/>
      <c r="E19" s="1960"/>
      <c r="F19" s="1959" t="s">
        <v>1414</v>
      </c>
      <c r="G19" s="1960"/>
      <c r="H19" s="1960"/>
      <c r="I19" s="1960"/>
      <c r="J19" s="1960"/>
      <c r="K19" s="1960"/>
      <c r="L19" s="1973"/>
      <c r="M19" s="1960"/>
      <c r="N19" s="1973"/>
      <c r="O19" s="1974"/>
      <c r="P19" s="1960"/>
      <c r="Q19" s="1960"/>
      <c r="R19" s="1960"/>
      <c r="S19" s="1960"/>
      <c r="T19" s="1960"/>
      <c r="U19" s="1960"/>
    </row>
    <row r="20" spans="1:21" s="400" customFormat="1" ht="14.1" customHeight="1">
      <c r="A20" s="1960"/>
      <c r="B20" s="1960"/>
      <c r="C20" s="1977"/>
      <c r="D20" s="1960"/>
      <c r="E20" s="1960"/>
      <c r="F20" s="1960" t="s">
        <v>1310</v>
      </c>
      <c r="G20" s="1960"/>
      <c r="H20" s="1960"/>
      <c r="I20" s="1960"/>
      <c r="J20" s="1960"/>
      <c r="K20" s="1960"/>
      <c r="L20" s="1973"/>
      <c r="M20" s="1973"/>
      <c r="N20" s="1973"/>
      <c r="O20" s="1974"/>
      <c r="P20" s="1960"/>
      <c r="Q20" s="1960"/>
      <c r="R20" s="1960"/>
      <c r="S20" s="1960"/>
      <c r="T20" s="1960"/>
      <c r="U20" s="1960"/>
    </row>
    <row r="21" spans="1:21" s="400" customFormat="1" ht="14.1" customHeight="1">
      <c r="A21" s="1960"/>
      <c r="B21" s="1960"/>
      <c r="C21" s="1977"/>
      <c r="D21" s="1960"/>
      <c r="E21" s="1958" t="s">
        <v>1318</v>
      </c>
      <c r="F21" s="1959"/>
      <c r="G21" s="1960"/>
      <c r="H21" s="1960"/>
      <c r="I21" s="1960"/>
      <c r="J21" s="1960"/>
      <c r="K21" s="1960"/>
      <c r="L21" s="1973"/>
      <c r="M21" s="1973"/>
      <c r="N21" s="1973"/>
      <c r="O21" s="1974"/>
      <c r="P21" s="1960"/>
      <c r="Q21" s="1960"/>
      <c r="R21" s="1960"/>
      <c r="S21" s="1960"/>
      <c r="T21" s="1960"/>
      <c r="U21" s="1960"/>
    </row>
    <row r="22" spans="1:21" s="400" customFormat="1" ht="14.1" customHeight="1">
      <c r="A22" s="1960"/>
      <c r="B22" s="1960"/>
      <c r="C22" s="1977"/>
      <c r="D22" s="1960"/>
      <c r="E22" s="1960"/>
      <c r="F22" s="1959" t="s">
        <v>1190</v>
      </c>
      <c r="G22" s="1960"/>
      <c r="H22" s="1960"/>
      <c r="I22" s="1960"/>
      <c r="J22" s="1960"/>
      <c r="K22" s="1960"/>
      <c r="L22" s="1973"/>
      <c r="M22" s="1973"/>
      <c r="N22" s="1973"/>
      <c r="O22" s="1974"/>
      <c r="P22" s="1960"/>
      <c r="Q22" s="1960"/>
      <c r="R22" s="1960"/>
      <c r="S22" s="1960"/>
      <c r="T22" s="1960"/>
      <c r="U22" s="1960"/>
    </row>
    <row r="23" spans="1:21" s="400" customFormat="1" ht="14.1" customHeight="1">
      <c r="A23" s="1960"/>
      <c r="B23" s="1960"/>
      <c r="C23" s="1977"/>
      <c r="D23" s="1960"/>
      <c r="E23" s="1960"/>
      <c r="F23" s="1959" t="s">
        <v>1321</v>
      </c>
      <c r="G23" s="1960"/>
      <c r="H23" s="1960"/>
      <c r="I23" s="1960"/>
      <c r="J23" s="1960"/>
      <c r="K23" s="1960"/>
      <c r="L23" s="1973"/>
      <c r="M23" s="1973"/>
      <c r="N23" s="1973"/>
      <c r="O23" s="1974"/>
      <c r="P23" s="1960"/>
      <c r="Q23" s="1960"/>
      <c r="R23" s="1960"/>
      <c r="S23" s="1960"/>
      <c r="T23" s="1960"/>
      <c r="U23" s="1960"/>
    </row>
    <row r="24" spans="1:21" s="400" customFormat="1" ht="14.1" customHeight="1">
      <c r="A24" s="1960"/>
      <c r="B24" s="1960"/>
      <c r="C24" s="1977"/>
      <c r="D24" s="1960"/>
      <c r="E24" s="1960"/>
      <c r="F24" s="1959"/>
      <c r="G24" s="1960"/>
      <c r="H24" s="1960"/>
      <c r="I24" s="1960"/>
      <c r="J24" s="1960"/>
      <c r="K24" s="1960"/>
      <c r="L24" s="1973"/>
      <c r="M24" s="1973"/>
      <c r="N24" s="1973"/>
      <c r="O24" s="1974"/>
      <c r="P24" s="1960"/>
      <c r="Q24" s="1960"/>
      <c r="R24" s="1960"/>
      <c r="S24" s="1960"/>
      <c r="T24" s="1960"/>
      <c r="U24" s="1960"/>
    </row>
    <row r="25" spans="1:21" s="78" customFormat="1" ht="14.1" customHeight="1">
      <c r="A25" s="581"/>
      <c r="B25" s="581"/>
      <c r="C25" s="583"/>
      <c r="D25" s="581"/>
      <c r="E25" s="581"/>
      <c r="F25" s="581"/>
      <c r="G25" s="581"/>
      <c r="H25" s="581"/>
      <c r="I25" s="581"/>
      <c r="J25" s="581"/>
      <c r="K25" s="581"/>
      <c r="L25" s="584"/>
      <c r="M25" s="584"/>
      <c r="N25" s="584"/>
      <c r="O25" s="582"/>
    </row>
    <row r="26" spans="1:21" s="1950" customFormat="1" ht="14.1" customHeight="1">
      <c r="A26" s="1954"/>
      <c r="B26" s="1978" t="s">
        <v>1720</v>
      </c>
      <c r="C26" s="1953"/>
      <c r="D26" s="1954"/>
      <c r="E26" s="1954"/>
      <c r="F26" s="1954"/>
      <c r="G26" s="1954"/>
      <c r="H26" s="1954"/>
      <c r="I26" s="1954"/>
      <c r="J26" s="1954"/>
      <c r="K26" s="1954"/>
      <c r="L26" s="1955"/>
      <c r="M26" s="1955"/>
      <c r="N26" s="1955"/>
      <c r="O26" s="1956"/>
      <c r="P26" s="1954"/>
      <c r="Q26" s="1954"/>
      <c r="R26" s="1954"/>
      <c r="S26" s="1954"/>
      <c r="T26" s="1954"/>
      <c r="U26" s="1954"/>
    </row>
    <row r="27" spans="1:21" s="78" customFormat="1" ht="14.1" customHeight="1">
      <c r="A27" s="668"/>
      <c r="B27" s="668"/>
      <c r="C27" s="668"/>
      <c r="D27" s="668"/>
      <c r="E27" s="668"/>
      <c r="F27" s="668"/>
      <c r="G27" s="668"/>
      <c r="H27" s="668"/>
      <c r="I27" s="668"/>
      <c r="J27" s="668"/>
      <c r="K27" s="668"/>
      <c r="L27" s="668"/>
      <c r="M27" s="668"/>
      <c r="N27" s="668"/>
      <c r="O27" s="668"/>
      <c r="P27" s="668"/>
      <c r="Q27" s="668"/>
      <c r="R27" s="668"/>
      <c r="S27" s="668"/>
      <c r="T27" s="668"/>
      <c r="U27" s="668"/>
    </row>
    <row r="28" spans="1:21" s="78" customFormat="1" ht="14.1" customHeight="1">
      <c r="A28" s="668"/>
      <c r="B28" s="668"/>
      <c r="C28" s="668" t="s">
        <v>1371</v>
      </c>
      <c r="D28" s="668" t="s">
        <v>1301</v>
      </c>
      <c r="E28" s="668"/>
      <c r="F28" s="668"/>
      <c r="G28" s="668"/>
      <c r="H28" s="668"/>
      <c r="I28" s="668"/>
      <c r="J28" s="668"/>
      <c r="K28" s="668"/>
      <c r="L28" s="668"/>
      <c r="M28" s="668"/>
      <c r="N28" s="668"/>
      <c r="O28" s="668"/>
      <c r="P28" s="668"/>
      <c r="Q28" s="668"/>
      <c r="R28" s="668"/>
      <c r="S28" s="668"/>
      <c r="T28" s="668"/>
      <c r="U28" s="668"/>
    </row>
    <row r="29" spans="1:21" s="400" customFormat="1" ht="14.1" customHeight="1">
      <c r="A29" s="1002"/>
      <c r="B29" s="1002"/>
      <c r="C29" s="1002"/>
      <c r="D29" s="1002"/>
      <c r="E29" s="1002"/>
      <c r="F29" s="1002" t="s">
        <v>1451</v>
      </c>
      <c r="G29" s="1002"/>
      <c r="H29" s="1002"/>
      <c r="I29" s="1002"/>
      <c r="J29" s="1002"/>
      <c r="K29" s="1002"/>
      <c r="L29" s="1002"/>
      <c r="M29" s="1002"/>
      <c r="N29" s="1002"/>
      <c r="O29" s="1002"/>
      <c r="P29" s="1002"/>
      <c r="Q29" s="1002"/>
      <c r="R29" s="1002"/>
      <c r="S29" s="1002"/>
      <c r="T29" s="1002"/>
      <c r="U29" s="1002"/>
    </row>
    <row r="30" spans="1:21" s="400" customFormat="1" ht="14.1" customHeight="1">
      <c r="A30" s="1002"/>
      <c r="B30" s="1002"/>
      <c r="C30" s="1002"/>
      <c r="D30" s="1002"/>
      <c r="E30" s="1002"/>
      <c r="F30" s="1002" t="s">
        <v>1302</v>
      </c>
      <c r="G30" s="1002"/>
      <c r="H30" s="1002"/>
      <c r="I30" s="1002"/>
      <c r="J30" s="1002"/>
      <c r="K30" s="1002"/>
      <c r="L30" s="1002"/>
      <c r="M30" s="1002"/>
      <c r="N30" s="1002"/>
      <c r="O30" s="1002"/>
      <c r="P30" s="1002"/>
      <c r="Q30" s="1002"/>
      <c r="R30" s="1002"/>
      <c r="S30" s="1002"/>
      <c r="T30" s="1002"/>
      <c r="U30" s="1002"/>
    </row>
    <row r="31" spans="1:21" s="400" customFormat="1" ht="14.1" customHeight="1">
      <c r="A31" s="1002"/>
      <c r="B31" s="1002"/>
      <c r="C31" s="1002"/>
      <c r="D31" s="1002"/>
      <c r="E31" s="1002"/>
      <c r="F31" s="1002" t="s">
        <v>1490</v>
      </c>
      <c r="G31" s="1002"/>
      <c r="H31" s="1002"/>
      <c r="I31" s="1002"/>
      <c r="J31" s="1002"/>
      <c r="K31" s="1002"/>
      <c r="L31" s="1002"/>
      <c r="M31" s="1002"/>
      <c r="N31" s="1002"/>
      <c r="O31" s="1002"/>
      <c r="P31" s="1002"/>
      <c r="Q31" s="1002"/>
      <c r="R31" s="1002"/>
      <c r="S31" s="1002"/>
      <c r="T31" s="1002"/>
      <c r="U31" s="1002"/>
    </row>
    <row r="32" spans="1:21" s="400" customFormat="1" ht="14.1" hidden="1" customHeight="1" outlineLevel="1">
      <c r="A32" s="1002"/>
      <c r="B32" s="1002"/>
      <c r="C32" s="1002"/>
      <c r="D32" s="1002"/>
      <c r="E32" s="1002"/>
      <c r="F32" s="1002" t="s">
        <v>1303</v>
      </c>
      <c r="G32" s="1002"/>
      <c r="H32" s="1002"/>
      <c r="I32" s="1002"/>
      <c r="J32" s="1002"/>
      <c r="K32" s="1002"/>
      <c r="L32" s="1002"/>
      <c r="M32" s="1002"/>
      <c r="N32" s="1002"/>
      <c r="O32" s="1002"/>
      <c r="P32" s="1002"/>
      <c r="Q32" s="1002"/>
      <c r="R32" s="1002"/>
      <c r="S32" s="1002"/>
      <c r="T32" s="1002"/>
      <c r="U32" s="1002"/>
    </row>
    <row r="33" spans="1:23" s="400" customFormat="1" ht="14.1" customHeight="1" collapsed="1">
      <c r="A33" s="1002"/>
      <c r="B33" s="1002"/>
      <c r="C33" s="1002"/>
      <c r="D33" s="1002"/>
      <c r="E33" s="1002"/>
      <c r="F33" s="1002" t="s">
        <v>1304</v>
      </c>
      <c r="G33" s="1002"/>
      <c r="H33" s="1002"/>
      <c r="I33" s="1002"/>
      <c r="J33" s="1002"/>
      <c r="K33" s="1002"/>
      <c r="L33" s="1002"/>
      <c r="M33" s="1002"/>
      <c r="N33" s="1002"/>
      <c r="O33" s="1002"/>
      <c r="P33" s="1002"/>
      <c r="Q33" s="1002"/>
      <c r="R33" s="1002"/>
      <c r="S33" s="1002"/>
      <c r="T33" s="1002"/>
      <c r="U33" s="1002"/>
    </row>
    <row r="34" spans="1:23" s="400" customFormat="1" ht="14.1" customHeight="1">
      <c r="A34" s="1002"/>
      <c r="B34" s="1002"/>
      <c r="C34" s="1002"/>
      <c r="D34" s="1002"/>
      <c r="E34" s="1002"/>
      <c r="F34" s="1002" t="s">
        <v>503</v>
      </c>
      <c r="G34" s="1002"/>
      <c r="H34" s="1002"/>
      <c r="I34" s="1002"/>
      <c r="J34" s="1002"/>
      <c r="K34" s="1002"/>
      <c r="L34" s="1002"/>
      <c r="M34" s="1002"/>
      <c r="N34" s="1002"/>
      <c r="O34" s="1002"/>
      <c r="P34" s="1002"/>
      <c r="Q34" s="1002"/>
      <c r="R34" s="1002"/>
      <c r="S34" s="1002"/>
      <c r="T34" s="1002"/>
      <c r="U34" s="1002"/>
    </row>
    <row r="35" spans="1:23" s="78" customFormat="1" ht="14.1" customHeight="1">
      <c r="A35" s="668"/>
      <c r="B35" s="668"/>
      <c r="C35" s="668" t="s">
        <v>1372</v>
      </c>
      <c r="D35" s="668" t="s">
        <v>1313</v>
      </c>
      <c r="E35" s="668"/>
      <c r="F35" s="668"/>
      <c r="G35" s="668"/>
      <c r="H35" s="668"/>
      <c r="I35" s="668"/>
      <c r="J35" s="668"/>
      <c r="K35" s="668"/>
      <c r="L35" s="668"/>
      <c r="M35" s="668"/>
      <c r="N35" s="668"/>
      <c r="O35" s="668"/>
      <c r="P35" s="668"/>
      <c r="Q35" s="668"/>
      <c r="R35" s="668"/>
      <c r="S35" s="668"/>
      <c r="T35" s="668"/>
      <c r="U35" s="668"/>
    </row>
    <row r="36" spans="1:23" s="78" customFormat="1" ht="14.1" customHeight="1">
      <c r="A36" s="668"/>
      <c r="B36" s="668"/>
      <c r="C36" s="668"/>
      <c r="D36" s="668" t="s">
        <v>1329</v>
      </c>
      <c r="E36" s="668"/>
      <c r="F36" s="668"/>
      <c r="G36" s="668"/>
      <c r="H36" s="668"/>
      <c r="I36" s="668"/>
      <c r="J36" s="668"/>
      <c r="K36" s="668"/>
      <c r="L36" s="668"/>
      <c r="M36" s="668"/>
      <c r="N36" s="668"/>
      <c r="O36" s="668"/>
      <c r="P36" s="668"/>
      <c r="Q36" s="668"/>
      <c r="R36" s="668"/>
      <c r="S36" s="668"/>
      <c r="T36" s="668"/>
      <c r="U36" s="668"/>
    </row>
    <row r="37" spans="1:23" s="78" customFormat="1" ht="14.1" customHeight="1">
      <c r="A37" s="668"/>
      <c r="B37" s="668"/>
      <c r="C37" s="668"/>
      <c r="D37" s="668"/>
      <c r="E37" s="668" t="s">
        <v>1319</v>
      </c>
      <c r="F37" s="668"/>
      <c r="G37" s="668"/>
      <c r="H37" s="668"/>
      <c r="I37" s="668"/>
      <c r="J37" s="668"/>
      <c r="K37" s="668"/>
      <c r="L37" s="668"/>
      <c r="M37" s="668"/>
      <c r="N37" s="668"/>
      <c r="O37" s="668"/>
      <c r="P37" s="668"/>
      <c r="Q37" s="668"/>
      <c r="R37" s="668"/>
      <c r="S37" s="668"/>
      <c r="T37" s="668"/>
      <c r="U37" s="668"/>
    </row>
    <row r="38" spans="1:23" s="400" customFormat="1" ht="14.1" customHeight="1">
      <c r="A38" s="1002"/>
      <c r="B38" s="1002"/>
      <c r="C38" s="1002"/>
      <c r="D38" s="1002"/>
      <c r="E38" s="1002"/>
      <c r="F38" s="1002" t="s">
        <v>1535</v>
      </c>
      <c r="G38" s="1002"/>
      <c r="H38" s="1002"/>
      <c r="I38" s="1002"/>
      <c r="J38" s="1002"/>
      <c r="K38" s="1002"/>
      <c r="L38" s="1002"/>
      <c r="M38" s="1002"/>
      <c r="N38" s="1002"/>
      <c r="O38" s="1002"/>
      <c r="P38" s="1002"/>
      <c r="Q38" s="1002"/>
      <c r="R38" s="1002"/>
      <c r="S38" s="1002"/>
      <c r="T38" s="1002"/>
      <c r="U38" s="1002"/>
      <c r="W38" s="1002"/>
    </row>
    <row r="39" spans="1:23" s="400" customFormat="1" ht="14.1" customHeight="1">
      <c r="A39" s="1002"/>
      <c r="B39" s="1002"/>
      <c r="C39" s="1002"/>
      <c r="D39" s="1002"/>
      <c r="E39" s="668" t="s">
        <v>1320</v>
      </c>
      <c r="F39" s="1002"/>
      <c r="G39" s="1002"/>
      <c r="H39" s="1002"/>
      <c r="I39" s="1002"/>
      <c r="J39" s="1002"/>
      <c r="K39" s="1002"/>
      <c r="L39" s="1002"/>
      <c r="M39" s="1002"/>
      <c r="N39" s="1002"/>
      <c r="O39" s="1002"/>
      <c r="P39" s="1002"/>
      <c r="Q39" s="1002"/>
      <c r="R39" s="1002"/>
      <c r="S39" s="1002"/>
      <c r="T39" s="1002"/>
      <c r="U39" s="1002"/>
      <c r="W39" s="1002"/>
    </row>
    <row r="40" spans="1:23" s="78" customFormat="1" ht="14.1" customHeight="1">
      <c r="A40" s="668"/>
      <c r="B40" s="668"/>
      <c r="C40" s="668"/>
      <c r="D40" s="668"/>
      <c r="E40" s="668"/>
      <c r="F40" s="1002" t="s">
        <v>1536</v>
      </c>
      <c r="G40" s="668"/>
      <c r="H40" s="668"/>
      <c r="I40" s="668"/>
      <c r="J40" s="668"/>
      <c r="K40" s="668"/>
      <c r="L40" s="668"/>
      <c r="M40" s="668"/>
      <c r="N40" s="668"/>
      <c r="O40" s="668"/>
      <c r="P40" s="668"/>
      <c r="Q40" s="668"/>
      <c r="R40" s="668"/>
      <c r="S40" s="668"/>
      <c r="T40" s="668"/>
      <c r="U40" s="668"/>
      <c r="W40" s="1002"/>
    </row>
    <row r="41" spans="1:23" s="400" customFormat="1" ht="14.1" customHeight="1">
      <c r="A41" s="1002"/>
      <c r="B41" s="1002"/>
      <c r="C41" s="1002"/>
      <c r="D41" s="1002"/>
      <c r="E41" s="1002"/>
      <c r="F41" s="1002" t="s">
        <v>1537</v>
      </c>
      <c r="G41" s="1002"/>
      <c r="H41" s="1002"/>
      <c r="I41" s="1002"/>
      <c r="J41" s="1002"/>
      <c r="K41" s="1002"/>
      <c r="L41" s="1002"/>
      <c r="M41" s="1002"/>
      <c r="N41" s="1002"/>
      <c r="O41" s="1002"/>
      <c r="P41" s="1002"/>
      <c r="Q41" s="1002"/>
      <c r="R41" s="1002"/>
      <c r="S41" s="1002"/>
      <c r="T41" s="1002"/>
      <c r="U41" s="1002"/>
    </row>
    <row r="42" spans="1:23" s="487" customFormat="1" ht="14.1" customHeight="1">
      <c r="A42" s="1002"/>
      <c r="B42" s="1002"/>
      <c r="C42" s="1002"/>
      <c r="D42" s="1002"/>
      <c r="E42" s="1002"/>
      <c r="F42" s="1002" t="s">
        <v>1538</v>
      </c>
      <c r="G42" s="1002"/>
      <c r="H42" s="1002"/>
      <c r="I42" s="1002"/>
      <c r="J42" s="1002"/>
      <c r="K42" s="1002"/>
      <c r="L42" s="1002"/>
      <c r="M42" s="1002"/>
      <c r="N42" s="1002"/>
      <c r="O42" s="1002"/>
      <c r="P42" s="1002"/>
      <c r="Q42" s="1002"/>
      <c r="R42" s="1002"/>
      <c r="S42" s="1002"/>
      <c r="T42" s="1002"/>
      <c r="U42" s="1002"/>
    </row>
    <row r="43" spans="1:23" s="487" customFormat="1" ht="14.1" customHeight="1">
      <c r="A43" s="1002"/>
      <c r="B43" s="1002"/>
      <c r="C43" s="1002"/>
      <c r="D43" s="1002"/>
      <c r="E43" s="1002"/>
      <c r="F43" s="1002" t="s">
        <v>1539</v>
      </c>
      <c r="G43" s="1002"/>
      <c r="H43" s="1002"/>
      <c r="I43" s="1002"/>
      <c r="J43" s="1002"/>
      <c r="K43" s="1002"/>
      <c r="L43" s="1002"/>
      <c r="M43" s="1002"/>
      <c r="N43" s="1002"/>
      <c r="O43" s="1002"/>
      <c r="P43" s="1002"/>
      <c r="Q43" s="1002"/>
      <c r="R43" s="1002"/>
      <c r="S43" s="1002"/>
      <c r="T43" s="1002"/>
      <c r="U43" s="1002"/>
    </row>
    <row r="44" spans="1:23" s="487" customFormat="1" ht="14.1" customHeight="1">
      <c r="A44" s="1002"/>
      <c r="B44" s="1002"/>
      <c r="C44" s="1002"/>
      <c r="D44" s="1002"/>
      <c r="E44" s="668" t="s">
        <v>1322</v>
      </c>
      <c r="F44" s="1002"/>
      <c r="G44" s="1002"/>
      <c r="H44" s="1002"/>
      <c r="I44" s="1002"/>
      <c r="J44" s="1002"/>
      <c r="K44" s="1002"/>
      <c r="L44" s="1002"/>
      <c r="M44" s="1002"/>
      <c r="N44" s="1002"/>
      <c r="O44" s="1002"/>
      <c r="P44" s="1002"/>
      <c r="Q44" s="1002"/>
      <c r="R44" s="1002"/>
      <c r="S44" s="1002"/>
      <c r="T44" s="1002"/>
      <c r="U44" s="1002"/>
    </row>
    <row r="45" spans="1:23" ht="14.1" customHeight="1">
      <c r="A45" s="668"/>
      <c r="B45" s="668"/>
      <c r="C45" s="668"/>
      <c r="D45" s="668"/>
      <c r="E45" s="668"/>
      <c r="F45" s="1002" t="s">
        <v>1540</v>
      </c>
      <c r="G45" s="668"/>
      <c r="H45" s="668"/>
      <c r="I45" s="668"/>
      <c r="J45" s="668"/>
      <c r="K45" s="668"/>
      <c r="L45" s="668"/>
      <c r="M45" s="668"/>
      <c r="N45" s="668"/>
      <c r="O45" s="668"/>
      <c r="P45" s="668"/>
      <c r="Q45" s="668"/>
      <c r="R45" s="668"/>
      <c r="S45" s="668"/>
      <c r="T45" s="668"/>
      <c r="U45" s="668"/>
    </row>
    <row r="46" spans="1:23" ht="14.1" customHeight="1">
      <c r="A46" s="668"/>
      <c r="B46" s="668"/>
      <c r="C46" s="668"/>
      <c r="D46" s="668"/>
      <c r="E46" s="668"/>
      <c r="F46" s="1002" t="s">
        <v>1541</v>
      </c>
      <c r="G46" s="668"/>
      <c r="H46" s="668"/>
      <c r="I46" s="668"/>
      <c r="J46" s="668"/>
      <c r="K46" s="668"/>
      <c r="L46" s="668"/>
      <c r="M46" s="668"/>
      <c r="N46" s="668"/>
      <c r="O46" s="668"/>
      <c r="P46" s="668"/>
      <c r="Q46" s="668"/>
      <c r="R46" s="668"/>
      <c r="S46" s="668"/>
      <c r="T46" s="668"/>
      <c r="U46" s="668"/>
    </row>
    <row r="47" spans="1:23" ht="14.1" customHeight="1">
      <c r="A47" s="668"/>
      <c r="B47" s="668"/>
      <c r="C47" s="668"/>
      <c r="D47" s="668"/>
      <c r="E47" s="668"/>
      <c r="F47" s="668"/>
      <c r="G47" s="668"/>
      <c r="H47" s="668"/>
      <c r="I47" s="668"/>
      <c r="J47" s="668"/>
      <c r="K47" s="668"/>
      <c r="L47" s="668"/>
      <c r="M47" s="668"/>
      <c r="N47" s="668"/>
      <c r="O47" s="668"/>
    </row>
    <row r="48" spans="1:23" ht="14.1" customHeight="1">
      <c r="A48" s="668"/>
      <c r="B48" s="668"/>
      <c r="C48" s="668"/>
      <c r="D48" s="668"/>
      <c r="E48" s="668"/>
      <c r="F48" s="668"/>
      <c r="G48" s="668"/>
      <c r="H48" s="668"/>
      <c r="I48" s="668"/>
      <c r="J48" s="668"/>
      <c r="K48" s="668"/>
      <c r="L48" s="668"/>
      <c r="M48" s="668"/>
      <c r="N48" s="668"/>
      <c r="O48" s="668"/>
    </row>
    <row r="49" spans="1:15" ht="14.1" customHeight="1">
      <c r="A49" s="668"/>
      <c r="B49" s="668"/>
      <c r="C49" s="668"/>
      <c r="D49" s="668"/>
      <c r="E49" s="668"/>
      <c r="F49" s="668"/>
      <c r="G49" s="668"/>
      <c r="H49" s="668"/>
      <c r="I49" s="668"/>
      <c r="J49" s="668"/>
      <c r="K49" s="668"/>
      <c r="L49" s="668"/>
      <c r="M49" s="668"/>
      <c r="N49" s="668"/>
      <c r="O49" s="668"/>
    </row>
    <row r="50" spans="1:15" ht="14.1" hidden="1" customHeight="1">
      <c r="A50" s="668"/>
      <c r="B50" s="668"/>
      <c r="C50" s="668"/>
      <c r="D50" s="668"/>
      <c r="E50" s="668"/>
      <c r="F50" s="668"/>
      <c r="G50" s="668"/>
      <c r="H50" s="668"/>
      <c r="I50" s="668"/>
      <c r="J50" s="668"/>
      <c r="K50" s="668"/>
      <c r="L50" s="668"/>
      <c r="M50" s="668"/>
      <c r="N50" s="668"/>
      <c r="O50" s="668"/>
    </row>
    <row r="51" spans="1:15" ht="12.95" hidden="1" customHeight="1">
      <c r="A51" s="581"/>
      <c r="B51" s="581"/>
      <c r="C51" s="583"/>
      <c r="D51" s="581"/>
      <c r="E51" s="581"/>
      <c r="F51" s="581"/>
      <c r="G51" s="581"/>
      <c r="H51" s="581"/>
      <c r="I51" s="581"/>
      <c r="J51" s="581"/>
      <c r="K51" s="581"/>
      <c r="L51" s="581"/>
      <c r="M51" s="581"/>
      <c r="N51" s="581"/>
      <c r="O51" s="581"/>
    </row>
    <row r="52" spans="1:15" ht="8.25" hidden="1" customHeight="1">
      <c r="A52" s="581"/>
      <c r="B52" s="581"/>
      <c r="C52" s="583"/>
      <c r="D52" s="581"/>
      <c r="E52" s="581"/>
      <c r="F52" s="581"/>
      <c r="G52" s="581"/>
      <c r="H52" s="581"/>
      <c r="I52" s="581"/>
      <c r="J52" s="581"/>
      <c r="K52" s="581"/>
      <c r="L52" s="581"/>
      <c r="M52" s="581"/>
      <c r="N52" s="581"/>
      <c r="O52" s="581"/>
    </row>
    <row r="53" spans="1:15" hidden="1"/>
    <row r="54" spans="1:15" hidden="1">
      <c r="D54" s="80" t="s">
        <v>1639</v>
      </c>
      <c r="G54" s="80" t="s">
        <v>1641</v>
      </c>
    </row>
    <row r="55" spans="1:15" hidden="1">
      <c r="D55" s="80" t="s">
        <v>1640</v>
      </c>
    </row>
    <row r="56" spans="1:15" hidden="1">
      <c r="D56" s="80" t="s">
        <v>1358</v>
      </c>
    </row>
    <row r="57" spans="1:15" hidden="1"/>
    <row r="58" spans="1:15" hidden="1"/>
    <row r="59" spans="1:15" hidden="1"/>
    <row r="60" spans="1:15" hidden="1"/>
    <row r="61" spans="1:15" hidden="1"/>
    <row r="62" spans="1:15" hidden="1"/>
    <row r="63" spans="1:15" hidden="1"/>
    <row r="64" spans="1:15" hidden="1"/>
    <row r="65" hidden="1"/>
    <row r="66" hidden="1"/>
    <row r="67" hidden="1"/>
    <row r="68" hidden="1"/>
    <row r="69" hidden="1"/>
    <row r="70" hidden="1"/>
    <row r="71" hidden="1"/>
    <row r="72" hidden="1"/>
    <row r="73" hidden="1"/>
    <row r="74" hidden="1"/>
    <row r="80" ht="19.5" customHeight="1"/>
  </sheetData>
  <sheetProtection algorithmName="SHA-512" hashValue="XzkSe0fci3+qLTn1E/17bqw48QkBxEqSiIn0D7D80pbxAeyIvHkW4joBmXwPfSOzpaHtxD7lsxDtU2CQJvlXiQ==" saltValue="PL2GXWAqFbXsIhq46zWD6w==" spinCount="100000" sheet="1" objects="1" scenarios="1"/>
  <customSheetViews>
    <customSheetView guid="{06451E13-97D0-44F4-875B-E8D80B2F1CF1}" showPageBreaks="1" printArea="1" view="pageBreakPreview">
      <selection activeCell="F23" sqref="F23"/>
      <pageMargins left="0" right="0" top="0" bottom="0" header="0" footer="0"/>
      <printOptions horizontalCentered="1" verticalCentered="1"/>
      <pageSetup paperSize="9" scale="70" orientation="landscape" r:id="rId1"/>
      <headerFooter scaleWithDoc="0" alignWithMargins="0">
        <oddFooter>&amp;C&amp;"Arial,標準"&amp;12 24</oddFooter>
      </headerFooter>
    </customSheetView>
  </customSheetViews>
  <phoneticPr fontId="29"/>
  <printOptions horizontalCentered="1" verticalCentered="1"/>
  <pageMargins left="0" right="0" top="0" bottom="0" header="0" footer="0"/>
  <pageSetup paperSize="9" scale="70" orientation="landscape" r:id="rId2"/>
  <headerFooter scaleWithDoc="0" alignWithMargins="0">
    <oddFooter>&amp;C&amp;"Arial,標準"&amp;12 24</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U82"/>
  <sheetViews>
    <sheetView view="pageBreakPreview" zoomScale="55" zoomScaleNormal="85" zoomScaleSheetLayoutView="55" workbookViewId="0">
      <selection activeCell="V1" sqref="V1:AL1048576"/>
    </sheetView>
  </sheetViews>
  <sheetFormatPr defaultColWidth="9.140625" defaultRowHeight="12"/>
  <cols>
    <col min="1" max="1" width="10.140625" style="80" customWidth="1"/>
    <col min="2" max="2" width="2.28515625" style="80" customWidth="1"/>
    <col min="3" max="3" width="2.28515625" style="77" customWidth="1"/>
    <col min="4" max="5" width="2.28515625" style="80" customWidth="1"/>
    <col min="6" max="8" width="9.140625" style="80"/>
    <col min="9" max="10" width="11.140625" style="80" customWidth="1"/>
    <col min="11" max="11" width="12.85546875" style="80" customWidth="1"/>
    <col min="12" max="13" width="2.5703125" style="80" customWidth="1"/>
    <col min="14" max="14" width="78.7109375" style="80" customWidth="1"/>
    <col min="15" max="15" width="10.5703125" style="80" customWidth="1"/>
    <col min="16" max="16" width="4.85546875" style="80" customWidth="1"/>
    <col min="17" max="18" width="8.140625" style="80" customWidth="1"/>
    <col min="19" max="19" width="7.5703125" style="80" customWidth="1"/>
    <col min="20" max="20" width="9.140625" style="80"/>
    <col min="21" max="21" width="13.5703125" style="80" customWidth="1"/>
    <col min="22" max="38" width="0" style="80" hidden="1" customWidth="1"/>
    <col min="39" max="16384" width="9.140625" style="80"/>
  </cols>
  <sheetData>
    <row r="1" spans="1:21" ht="54" customHeight="1">
      <c r="A1" s="581"/>
      <c r="B1" s="581"/>
      <c r="C1" s="583"/>
      <c r="D1" s="581"/>
      <c r="E1" s="581"/>
      <c r="F1" s="581"/>
      <c r="G1" s="581"/>
      <c r="H1" s="581"/>
      <c r="I1" s="581"/>
      <c r="J1" s="581"/>
      <c r="K1" s="581"/>
      <c r="L1" s="581"/>
      <c r="M1" s="581"/>
      <c r="N1" s="581"/>
      <c r="O1" s="581"/>
    </row>
    <row r="2" spans="1:21" ht="15" customHeight="1">
      <c r="A2" s="585"/>
      <c r="B2" s="585"/>
      <c r="C2" s="586"/>
      <c r="D2" s="585"/>
      <c r="E2" s="585"/>
      <c r="F2" s="581"/>
      <c r="G2" s="581"/>
      <c r="H2" s="581"/>
      <c r="I2" s="581"/>
      <c r="J2" s="581"/>
      <c r="K2" s="581"/>
      <c r="L2" s="581"/>
      <c r="M2" s="581"/>
      <c r="N2" s="581"/>
      <c r="O2" s="581"/>
    </row>
    <row r="3" spans="1:21" ht="48" customHeight="1">
      <c r="A3" s="581"/>
      <c r="B3" s="581"/>
      <c r="C3" s="583"/>
      <c r="D3" s="581"/>
      <c r="E3" s="581"/>
      <c r="F3" s="581"/>
      <c r="G3" s="581"/>
      <c r="H3" s="581"/>
      <c r="I3" s="581"/>
      <c r="J3" s="581"/>
      <c r="K3" s="581"/>
      <c r="L3" s="581"/>
      <c r="M3" s="581"/>
      <c r="N3" s="581"/>
      <c r="O3" s="581"/>
    </row>
    <row r="4" spans="1:21" s="1952" customFormat="1" ht="21" customHeight="1">
      <c r="A4" s="1964"/>
      <c r="B4" s="1965" t="s">
        <v>1305</v>
      </c>
      <c r="C4" s="1966"/>
      <c r="D4" s="1964"/>
      <c r="E4" s="1964"/>
      <c r="F4" s="1964"/>
      <c r="G4" s="1964"/>
      <c r="H4" s="1964"/>
      <c r="I4" s="1964"/>
      <c r="J4" s="1964"/>
      <c r="K4" s="1964"/>
      <c r="L4" s="1964"/>
      <c r="M4" s="1964"/>
      <c r="N4" s="1964"/>
      <c r="O4" s="1964"/>
      <c r="P4" s="1964"/>
      <c r="Q4" s="1964"/>
      <c r="R4" s="1964"/>
      <c r="S4" s="1964"/>
      <c r="T4" s="1964"/>
      <c r="U4" s="1964"/>
    </row>
    <row r="5" spans="1:21" s="78" customFormat="1" ht="14.1" customHeight="1">
      <c r="A5" s="1958"/>
      <c r="B5" s="1958"/>
      <c r="C5" s="1967"/>
      <c r="D5" s="1958"/>
      <c r="E5" s="1958"/>
      <c r="F5" s="1958"/>
      <c r="G5" s="1958"/>
      <c r="H5" s="1958"/>
      <c r="I5" s="1958"/>
      <c r="J5" s="1958"/>
      <c r="K5" s="1958"/>
      <c r="L5" s="1958"/>
      <c r="M5" s="1968"/>
      <c r="N5" s="1968"/>
      <c r="O5" s="1969"/>
      <c r="P5" s="1958"/>
      <c r="Q5" s="1958"/>
      <c r="R5" s="1958"/>
      <c r="S5" s="1958"/>
      <c r="T5" s="1958"/>
      <c r="U5" s="1958"/>
    </row>
    <row r="6" spans="1:21" s="78" customFormat="1" ht="14.1" customHeight="1">
      <c r="A6" s="1958"/>
      <c r="B6" s="1958"/>
      <c r="C6" s="1970" t="s">
        <v>1311</v>
      </c>
      <c r="D6" s="1958" t="s">
        <v>1323</v>
      </c>
      <c r="E6" s="1958"/>
      <c r="F6" s="1958"/>
      <c r="G6" s="1958"/>
      <c r="H6" s="1958"/>
      <c r="I6" s="1958"/>
      <c r="J6" s="1958"/>
      <c r="K6" s="1958"/>
      <c r="L6" s="1968"/>
      <c r="M6" s="1958"/>
      <c r="N6" s="1968"/>
      <c r="O6" s="1958"/>
      <c r="P6" s="1958"/>
      <c r="Q6" s="1958"/>
      <c r="R6" s="1958"/>
      <c r="S6" s="1958"/>
      <c r="T6" s="1958"/>
      <c r="U6" s="1958"/>
    </row>
    <row r="7" spans="1:21" s="400" customFormat="1" ht="14.1" customHeight="1">
      <c r="A7" s="1960"/>
      <c r="B7" s="1960"/>
      <c r="C7" s="1971"/>
      <c r="D7" s="1972" t="s">
        <v>1308</v>
      </c>
      <c r="E7" s="1960"/>
      <c r="F7" s="1959"/>
      <c r="G7" s="1960"/>
      <c r="H7" s="1960"/>
      <c r="I7" s="1960"/>
      <c r="J7" s="1960"/>
      <c r="K7" s="1960"/>
      <c r="L7" s="1960"/>
      <c r="M7" s="1960"/>
      <c r="N7" s="1973"/>
      <c r="O7" s="1960"/>
      <c r="P7" s="1960"/>
      <c r="Q7" s="1960"/>
      <c r="R7" s="1960"/>
      <c r="S7" s="1960"/>
      <c r="T7" s="1960"/>
      <c r="U7" s="1960"/>
    </row>
    <row r="8" spans="1:21" s="400" customFormat="1" ht="14.1" customHeight="1">
      <c r="A8" s="1960"/>
      <c r="B8" s="1960"/>
      <c r="C8" s="1971"/>
      <c r="D8" s="1959"/>
      <c r="E8" s="1958" t="s">
        <v>1324</v>
      </c>
      <c r="F8" s="1959"/>
      <c r="G8" s="1960"/>
      <c r="H8" s="1960"/>
      <c r="I8" s="1960"/>
      <c r="J8" s="1960"/>
      <c r="K8" s="1960"/>
      <c r="L8" s="1973"/>
      <c r="M8" s="1960"/>
      <c r="N8" s="1973"/>
      <c r="O8" s="1960"/>
      <c r="P8" s="1960"/>
      <c r="Q8" s="1960"/>
      <c r="R8" s="1960"/>
      <c r="S8" s="1960"/>
      <c r="T8" s="1960"/>
      <c r="U8" s="1960"/>
    </row>
    <row r="9" spans="1:21" s="400" customFormat="1" ht="14.1" customHeight="1">
      <c r="A9" s="1960"/>
      <c r="B9" s="1960"/>
      <c r="C9" s="1971"/>
      <c r="D9" s="1959"/>
      <c r="E9" s="1960"/>
      <c r="F9" s="1959" t="s">
        <v>1367</v>
      </c>
      <c r="G9" s="1960"/>
      <c r="H9" s="1960"/>
      <c r="I9" s="1960"/>
      <c r="J9" s="1960"/>
      <c r="K9" s="1960"/>
      <c r="L9" s="1973"/>
      <c r="M9" s="1960"/>
      <c r="N9" s="1973"/>
      <c r="O9" s="1974"/>
      <c r="P9" s="1960"/>
      <c r="Q9" s="1960"/>
      <c r="R9" s="1960"/>
      <c r="S9" s="1960"/>
      <c r="T9" s="1960"/>
      <c r="U9" s="1960"/>
    </row>
    <row r="10" spans="1:21" s="400" customFormat="1" ht="14.1" customHeight="1">
      <c r="A10" s="1960"/>
      <c r="B10" s="1960"/>
      <c r="C10" s="1971"/>
      <c r="D10" s="1972" t="s">
        <v>1327</v>
      </c>
      <c r="E10" s="1960"/>
      <c r="F10" s="1959"/>
      <c r="G10" s="1960"/>
      <c r="H10" s="1960"/>
      <c r="I10" s="1960"/>
      <c r="J10" s="1960"/>
      <c r="K10" s="1960"/>
      <c r="L10" s="1973"/>
      <c r="M10" s="1960"/>
      <c r="N10" s="1973"/>
      <c r="O10" s="1974"/>
      <c r="P10" s="1960"/>
      <c r="Q10" s="1960"/>
      <c r="R10" s="1960"/>
      <c r="S10" s="1960"/>
      <c r="T10" s="1960"/>
      <c r="U10" s="1960"/>
    </row>
    <row r="11" spans="1:21" s="400" customFormat="1" ht="14.1" customHeight="1">
      <c r="A11" s="1960"/>
      <c r="B11" s="1960"/>
      <c r="C11" s="1971"/>
      <c r="D11" s="1959"/>
      <c r="E11" s="1958" t="s">
        <v>1330</v>
      </c>
      <c r="F11" s="1975"/>
      <c r="G11" s="1960"/>
      <c r="H11" s="1960"/>
      <c r="I11" s="1960"/>
      <c r="J11" s="1960"/>
      <c r="K11" s="1960"/>
      <c r="L11" s="1973"/>
      <c r="M11" s="1960"/>
      <c r="N11" s="1973"/>
      <c r="O11" s="1974"/>
      <c r="P11" s="1960"/>
      <c r="Q11" s="1960"/>
      <c r="R11" s="1960"/>
      <c r="S11" s="1960"/>
      <c r="T11" s="1960"/>
      <c r="U11" s="1960"/>
    </row>
    <row r="12" spans="1:21" s="400" customFormat="1" ht="14.1" customHeight="1">
      <c r="A12" s="1960"/>
      <c r="B12" s="1960"/>
      <c r="C12" s="1971"/>
      <c r="D12" s="1959"/>
      <c r="E12" s="1960"/>
      <c r="F12" s="1959" t="s">
        <v>1042</v>
      </c>
      <c r="G12" s="1960"/>
      <c r="H12" s="1960"/>
      <c r="I12" s="1960"/>
      <c r="J12" s="1960"/>
      <c r="K12" s="1960"/>
      <c r="L12" s="1973"/>
      <c r="M12" s="1960"/>
      <c r="N12" s="1973"/>
      <c r="O12" s="1974"/>
      <c r="P12" s="1960"/>
      <c r="Q12" s="1960"/>
      <c r="R12" s="1960"/>
      <c r="S12" s="1960"/>
      <c r="T12" s="1960"/>
      <c r="U12" s="1960"/>
    </row>
    <row r="13" spans="1:21" s="78" customFormat="1" ht="14.1" customHeight="1">
      <c r="A13" s="1958"/>
      <c r="B13" s="1958"/>
      <c r="C13" s="1970"/>
      <c r="D13" s="1958"/>
      <c r="E13" s="1958"/>
      <c r="F13" s="1960" t="s">
        <v>1043</v>
      </c>
      <c r="G13" s="1958"/>
      <c r="H13" s="1958"/>
      <c r="I13" s="1958"/>
      <c r="J13" s="1958"/>
      <c r="K13" s="1958"/>
      <c r="L13" s="1968"/>
      <c r="M13" s="1958"/>
      <c r="N13" s="1968"/>
      <c r="O13" s="1969"/>
      <c r="P13" s="1958"/>
      <c r="Q13" s="1958"/>
      <c r="R13" s="1958"/>
      <c r="S13" s="1958"/>
      <c r="T13" s="1958"/>
      <c r="U13" s="1958"/>
    </row>
    <row r="14" spans="1:21" s="78" customFormat="1" ht="14.1" customHeight="1">
      <c r="A14" s="1958"/>
      <c r="B14" s="1958"/>
      <c r="C14" s="1970"/>
      <c r="D14" s="1958"/>
      <c r="E14" s="1958" t="s">
        <v>1333</v>
      </c>
      <c r="F14" s="1958"/>
      <c r="G14" s="1958"/>
      <c r="H14" s="1958"/>
      <c r="I14" s="1958"/>
      <c r="J14" s="1958"/>
      <c r="K14" s="1958"/>
      <c r="L14" s="1968"/>
      <c r="M14" s="1958"/>
      <c r="N14" s="1968"/>
      <c r="O14" s="1969"/>
      <c r="P14" s="1958"/>
      <c r="Q14" s="1958"/>
      <c r="R14" s="1958"/>
      <c r="S14" s="1958"/>
      <c r="T14" s="1958"/>
      <c r="U14" s="1958"/>
    </row>
    <row r="15" spans="1:21" s="78" customFormat="1" ht="14.1" customHeight="1">
      <c r="A15" s="1958"/>
      <c r="B15" s="1958"/>
      <c r="C15" s="1970"/>
      <c r="D15" s="1958"/>
      <c r="E15" s="1958"/>
      <c r="F15" s="1960" t="s">
        <v>1043</v>
      </c>
      <c r="G15" s="1958"/>
      <c r="H15" s="1958"/>
      <c r="I15" s="1958"/>
      <c r="J15" s="1958"/>
      <c r="K15" s="1958"/>
      <c r="L15" s="1968"/>
      <c r="M15" s="1958"/>
      <c r="N15" s="1968"/>
      <c r="O15" s="1969"/>
      <c r="P15" s="1958"/>
      <c r="Q15" s="1958"/>
      <c r="R15" s="1958"/>
      <c r="S15" s="1958"/>
      <c r="T15" s="1958"/>
      <c r="U15" s="1958"/>
    </row>
    <row r="16" spans="1:21" s="400" customFormat="1" ht="14.1" customHeight="1">
      <c r="A16" s="1960"/>
      <c r="B16" s="1960"/>
      <c r="C16" s="1970" t="s">
        <v>1336</v>
      </c>
      <c r="D16" s="1958" t="s">
        <v>1337</v>
      </c>
      <c r="E16" s="1960"/>
      <c r="F16" s="1976"/>
      <c r="G16" s="1960"/>
      <c r="H16" s="1960"/>
      <c r="I16" s="1960"/>
      <c r="J16" s="1960"/>
      <c r="K16" s="1960"/>
      <c r="L16" s="1973"/>
      <c r="M16" s="1960"/>
      <c r="N16" s="1973"/>
      <c r="O16" s="1974"/>
      <c r="P16" s="2056"/>
      <c r="Q16" s="1960"/>
      <c r="R16" s="1960"/>
      <c r="S16" s="1960"/>
      <c r="T16" s="1960"/>
      <c r="U16" s="1960"/>
    </row>
    <row r="17" spans="1:21" s="400" customFormat="1" ht="14.1" customHeight="1">
      <c r="A17" s="1960"/>
      <c r="B17" s="1960"/>
      <c r="C17" s="1971"/>
      <c r="D17" s="1958" t="s">
        <v>1339</v>
      </c>
      <c r="E17" s="1960"/>
      <c r="F17" s="1976"/>
      <c r="G17" s="1960"/>
      <c r="H17" s="1960"/>
      <c r="I17" s="1960"/>
      <c r="J17" s="1960"/>
      <c r="K17" s="1960"/>
      <c r="L17" s="1973"/>
      <c r="M17" s="1960"/>
      <c r="N17" s="1973"/>
      <c r="O17" s="1974"/>
      <c r="P17" s="1960"/>
      <c r="Q17" s="1960"/>
      <c r="R17" s="1960"/>
      <c r="S17" s="1960"/>
      <c r="T17" s="1960"/>
      <c r="U17" s="1960"/>
    </row>
    <row r="18" spans="1:21" s="78" customFormat="1" ht="14.1" customHeight="1">
      <c r="A18" s="1958"/>
      <c r="B18" s="1958"/>
      <c r="C18" s="1970"/>
      <c r="D18" s="1958"/>
      <c r="E18" s="1958" t="s">
        <v>1340</v>
      </c>
      <c r="F18" s="1958"/>
      <c r="G18" s="1958"/>
      <c r="H18" s="1958"/>
      <c r="I18" s="1958"/>
      <c r="J18" s="1958"/>
      <c r="K18" s="1958"/>
      <c r="L18" s="1968"/>
      <c r="M18" s="1958"/>
      <c r="N18" s="1968"/>
      <c r="O18" s="1958"/>
      <c r="P18" s="1958"/>
      <c r="Q18" s="1958"/>
      <c r="R18" s="1958"/>
      <c r="S18" s="1958"/>
      <c r="T18" s="1958"/>
      <c r="U18" s="1958"/>
    </row>
    <row r="19" spans="1:21" s="400" customFormat="1" ht="14.1" customHeight="1">
      <c r="A19" s="1960"/>
      <c r="B19" s="1960"/>
      <c r="C19" s="1971"/>
      <c r="D19" s="1960"/>
      <c r="E19" s="1960"/>
      <c r="F19" s="1961" t="s">
        <v>1488</v>
      </c>
      <c r="G19" s="1960"/>
      <c r="H19" s="1960"/>
      <c r="I19" s="1960"/>
      <c r="J19" s="1960"/>
      <c r="K19" s="1960"/>
      <c r="L19" s="1973"/>
      <c r="M19" s="1960"/>
      <c r="N19" s="1973"/>
      <c r="O19" s="1974"/>
      <c r="P19" s="1960"/>
      <c r="Q19" s="1960"/>
      <c r="R19" s="1960"/>
      <c r="S19" s="1960"/>
      <c r="T19" s="1960"/>
      <c r="U19" s="1960"/>
    </row>
    <row r="20" spans="1:21" s="400" customFormat="1" ht="14.1" customHeight="1">
      <c r="A20" s="1960"/>
      <c r="B20" s="1960"/>
      <c r="C20" s="1971"/>
      <c r="D20" s="1960"/>
      <c r="E20" s="1958" t="s">
        <v>1346</v>
      </c>
      <c r="F20" s="1959"/>
      <c r="G20" s="1960"/>
      <c r="H20" s="1960"/>
      <c r="I20" s="1960"/>
      <c r="J20" s="1960"/>
      <c r="K20" s="1960"/>
      <c r="L20" s="1973"/>
      <c r="M20" s="1960"/>
      <c r="N20" s="1973"/>
      <c r="O20" s="1974"/>
      <c r="P20" s="1960"/>
      <c r="Q20" s="1960"/>
      <c r="R20" s="1960"/>
      <c r="S20" s="1960"/>
      <c r="T20" s="1960"/>
      <c r="U20" s="1960"/>
    </row>
    <row r="21" spans="1:21" s="400" customFormat="1" ht="14.1" customHeight="1">
      <c r="A21" s="1960"/>
      <c r="B21" s="1960"/>
      <c r="C21" s="1977"/>
      <c r="D21" s="1960"/>
      <c r="E21" s="1960"/>
      <c r="F21" s="1959" t="s">
        <v>1347</v>
      </c>
      <c r="G21" s="1960"/>
      <c r="H21" s="1960"/>
      <c r="I21" s="1960"/>
      <c r="J21" s="1960"/>
      <c r="K21" s="1960"/>
      <c r="L21" s="1973"/>
      <c r="M21" s="1973"/>
      <c r="N21" s="1973"/>
      <c r="O21" s="1974"/>
      <c r="P21" s="1960"/>
      <c r="Q21" s="1960"/>
      <c r="R21" s="1960"/>
      <c r="S21" s="1960"/>
      <c r="T21" s="1960"/>
      <c r="U21" s="1960"/>
    </row>
    <row r="22" spans="1:21" s="78" customFormat="1" ht="14.1" customHeight="1">
      <c r="A22" s="1958"/>
      <c r="B22" s="1958"/>
      <c r="C22" s="1967"/>
      <c r="D22" s="1958"/>
      <c r="E22" s="1958"/>
      <c r="F22" s="1960" t="s">
        <v>1368</v>
      </c>
      <c r="G22" s="1958"/>
      <c r="H22" s="1958"/>
      <c r="I22" s="1958"/>
      <c r="J22" s="1958"/>
      <c r="K22" s="1958"/>
      <c r="L22" s="1968"/>
      <c r="M22" s="1968"/>
      <c r="N22" s="1968"/>
      <c r="O22" s="1969"/>
      <c r="P22" s="1958"/>
      <c r="Q22" s="1958"/>
      <c r="R22" s="1958"/>
      <c r="S22" s="1958"/>
      <c r="T22" s="1958"/>
      <c r="U22" s="1958"/>
    </row>
    <row r="23" spans="1:21" s="78" customFormat="1" ht="14.1" customHeight="1">
      <c r="A23" s="1958"/>
      <c r="B23" s="1958"/>
      <c r="C23" s="1967"/>
      <c r="D23" s="1958"/>
      <c r="E23" s="1958" t="s">
        <v>1350</v>
      </c>
      <c r="F23" s="1958"/>
      <c r="G23" s="1958"/>
      <c r="H23" s="1958"/>
      <c r="I23" s="1958"/>
      <c r="J23" s="1958"/>
      <c r="K23" s="1958"/>
      <c r="L23" s="1968"/>
      <c r="M23" s="1968"/>
      <c r="N23" s="1968"/>
      <c r="O23" s="1969"/>
      <c r="P23" s="1958"/>
      <c r="Q23" s="1958"/>
      <c r="R23" s="1958"/>
      <c r="S23" s="1958"/>
      <c r="T23" s="1958"/>
      <c r="U23" s="1958"/>
    </row>
    <row r="24" spans="1:21" s="78" customFormat="1" ht="14.1" customHeight="1">
      <c r="A24" s="1958"/>
      <c r="B24" s="1958"/>
      <c r="C24" s="1967"/>
      <c r="D24" s="1958"/>
      <c r="E24" s="1958"/>
      <c r="F24" s="1960" t="s">
        <v>1369</v>
      </c>
      <c r="G24" s="1958"/>
      <c r="H24" s="1958"/>
      <c r="I24" s="1958"/>
      <c r="J24" s="1958"/>
      <c r="K24" s="1958"/>
      <c r="L24" s="1968"/>
      <c r="M24" s="1968"/>
      <c r="N24" s="1968"/>
      <c r="O24" s="1969"/>
      <c r="P24" s="1958"/>
      <c r="Q24" s="1958"/>
      <c r="R24" s="1958"/>
      <c r="S24" s="1958"/>
      <c r="T24" s="1958"/>
      <c r="U24" s="1958"/>
    </row>
    <row r="25" spans="1:21" s="78" customFormat="1" ht="14.1" customHeight="1">
      <c r="A25" s="1958"/>
      <c r="B25" s="1958"/>
      <c r="C25" s="1967"/>
      <c r="D25" s="1958"/>
      <c r="E25" s="1958"/>
      <c r="F25" s="1960" t="s">
        <v>1351</v>
      </c>
      <c r="G25" s="1958"/>
      <c r="H25" s="1958"/>
      <c r="I25" s="1958"/>
      <c r="J25" s="1958"/>
      <c r="K25" s="1958"/>
      <c r="L25" s="1968"/>
      <c r="M25" s="1968"/>
      <c r="N25" s="1968"/>
      <c r="O25" s="1969"/>
      <c r="P25" s="1958"/>
      <c r="Q25" s="1958"/>
      <c r="R25" s="1958"/>
      <c r="S25" s="1958"/>
      <c r="T25" s="1958"/>
      <c r="U25" s="1958"/>
    </row>
    <row r="26" spans="1:21" s="78" customFormat="1" ht="14.1" customHeight="1">
      <c r="A26" s="581"/>
      <c r="B26" s="581"/>
      <c r="C26" s="583"/>
      <c r="D26" s="581"/>
      <c r="E26" s="581"/>
      <c r="F26" s="581"/>
      <c r="G26" s="581"/>
      <c r="H26" s="581"/>
      <c r="I26" s="581"/>
      <c r="J26" s="581"/>
      <c r="K26" s="581"/>
      <c r="L26" s="584"/>
      <c r="M26" s="584"/>
      <c r="N26" s="584"/>
      <c r="O26" s="582"/>
    </row>
    <row r="27" spans="1:21" s="1952" customFormat="1" ht="14.1" customHeight="1">
      <c r="A27" s="1954"/>
      <c r="B27" s="1978" t="s">
        <v>1722</v>
      </c>
      <c r="C27" s="1953"/>
      <c r="D27" s="1954"/>
      <c r="E27" s="1954"/>
      <c r="F27" s="1954"/>
      <c r="G27" s="1954"/>
      <c r="H27" s="1954"/>
      <c r="I27" s="1954"/>
      <c r="J27" s="1954"/>
      <c r="K27" s="1954"/>
      <c r="L27" s="1955"/>
      <c r="M27" s="1955"/>
      <c r="N27" s="1955"/>
      <c r="O27" s="1956"/>
      <c r="P27" s="1954"/>
      <c r="Q27" s="1954"/>
      <c r="R27" s="1954"/>
      <c r="S27" s="1954"/>
      <c r="T27" s="1954"/>
      <c r="U27" s="1954"/>
    </row>
    <row r="28" spans="1:21" s="78" customFormat="1" ht="14.1" customHeight="1">
      <c r="A28" s="668"/>
      <c r="B28" s="668"/>
      <c r="C28" s="668"/>
      <c r="D28" s="668"/>
      <c r="E28" s="668"/>
      <c r="F28" s="668"/>
      <c r="G28" s="668"/>
      <c r="H28" s="668"/>
      <c r="I28" s="668"/>
      <c r="J28" s="668"/>
      <c r="K28" s="668"/>
      <c r="L28" s="668"/>
      <c r="M28" s="668"/>
      <c r="N28" s="668"/>
      <c r="O28" s="668"/>
      <c r="P28" s="668"/>
      <c r="Q28" s="668"/>
      <c r="R28" s="668"/>
      <c r="S28" s="668"/>
      <c r="T28" s="668"/>
      <c r="U28" s="668"/>
    </row>
    <row r="29" spans="1:21" s="78" customFormat="1" ht="14.1" customHeight="1">
      <c r="A29" s="668"/>
      <c r="B29" s="668"/>
      <c r="C29" s="668" t="s">
        <v>1311</v>
      </c>
      <c r="D29" s="668" t="s">
        <v>1312</v>
      </c>
      <c r="E29" s="668"/>
      <c r="F29" s="668"/>
      <c r="G29" s="668"/>
      <c r="H29" s="668"/>
      <c r="I29" s="668"/>
      <c r="J29" s="668"/>
      <c r="K29" s="668"/>
      <c r="L29" s="668"/>
      <c r="M29" s="668"/>
      <c r="N29" s="668"/>
      <c r="O29" s="668"/>
      <c r="P29" s="668"/>
      <c r="Q29" s="668"/>
      <c r="R29" s="668"/>
      <c r="S29" s="668"/>
      <c r="T29" s="668"/>
      <c r="U29" s="668"/>
    </row>
    <row r="30" spans="1:21" s="400" customFormat="1" ht="14.1" customHeight="1">
      <c r="A30" s="1002"/>
      <c r="B30" s="1002"/>
      <c r="C30" s="1002"/>
      <c r="D30" s="668" t="s">
        <v>1314</v>
      </c>
      <c r="E30" s="1002"/>
      <c r="F30" s="1002"/>
      <c r="G30" s="1002"/>
      <c r="H30" s="1002"/>
      <c r="I30" s="1002"/>
      <c r="J30" s="1002"/>
      <c r="K30" s="1002"/>
      <c r="L30" s="1002"/>
      <c r="M30" s="1002"/>
      <c r="N30" s="1002"/>
      <c r="O30" s="1002"/>
      <c r="P30" s="1002"/>
      <c r="Q30" s="1002"/>
      <c r="R30" s="1002"/>
      <c r="S30" s="1002"/>
      <c r="T30" s="1002"/>
      <c r="U30" s="1002"/>
    </row>
    <row r="31" spans="1:21" s="400" customFormat="1" ht="14.1" customHeight="1">
      <c r="A31" s="1002"/>
      <c r="B31" s="1002"/>
      <c r="C31" s="1002"/>
      <c r="D31" s="1002"/>
      <c r="E31" s="668" t="s">
        <v>1325</v>
      </c>
      <c r="F31" s="1002"/>
      <c r="G31" s="1002"/>
      <c r="H31" s="1002"/>
      <c r="I31" s="1002"/>
      <c r="J31" s="1002"/>
      <c r="K31" s="1002"/>
      <c r="L31" s="1002"/>
      <c r="M31" s="1002"/>
      <c r="N31" s="1002"/>
      <c r="O31" s="1002"/>
      <c r="P31" s="1002"/>
      <c r="Q31" s="1002"/>
      <c r="R31" s="1002"/>
      <c r="S31" s="1002"/>
      <c r="T31" s="1002"/>
      <c r="U31" s="1002"/>
    </row>
    <row r="32" spans="1:21" s="400" customFormat="1" ht="14.1" customHeight="1">
      <c r="A32" s="1002"/>
      <c r="B32" s="1002"/>
      <c r="C32" s="1002"/>
      <c r="D32" s="1002"/>
      <c r="E32" s="1002"/>
      <c r="F32" s="1002" t="s">
        <v>1326</v>
      </c>
      <c r="G32" s="1002"/>
      <c r="H32" s="1002"/>
      <c r="I32" s="1002"/>
      <c r="J32" s="1002"/>
      <c r="K32" s="1002"/>
      <c r="L32" s="1002"/>
      <c r="M32" s="1002"/>
      <c r="N32" s="1002"/>
      <c r="O32" s="1002"/>
      <c r="P32" s="1002"/>
      <c r="Q32" s="1002"/>
      <c r="R32" s="1002"/>
      <c r="S32" s="1002"/>
      <c r="T32" s="1002"/>
      <c r="U32" s="1002"/>
    </row>
    <row r="33" spans="1:21" s="400" customFormat="1" ht="14.1" customHeight="1">
      <c r="A33" s="1002"/>
      <c r="B33" s="1002"/>
      <c r="C33" s="1002"/>
      <c r="D33" s="668" t="s">
        <v>1331</v>
      </c>
      <c r="E33" s="1002"/>
      <c r="F33" s="1002"/>
      <c r="G33" s="1002"/>
      <c r="H33" s="1002"/>
      <c r="I33" s="1002"/>
      <c r="J33" s="1002"/>
      <c r="K33" s="1002"/>
      <c r="L33" s="1002"/>
      <c r="M33" s="1002"/>
      <c r="N33" s="1002"/>
      <c r="O33" s="1002"/>
      <c r="P33" s="1002"/>
      <c r="Q33" s="1002"/>
      <c r="R33" s="1002"/>
      <c r="S33" s="1002"/>
      <c r="T33" s="1002"/>
      <c r="U33" s="1002"/>
    </row>
    <row r="34" spans="1:21" s="400" customFormat="1" ht="14.1" customHeight="1">
      <c r="A34" s="1002"/>
      <c r="B34" s="1002"/>
      <c r="C34" s="1002"/>
      <c r="D34" s="1002"/>
      <c r="E34" s="668" t="s">
        <v>1332</v>
      </c>
      <c r="F34" s="1002"/>
      <c r="G34" s="1002"/>
      <c r="H34" s="1002"/>
      <c r="I34" s="1002"/>
      <c r="J34" s="1002"/>
      <c r="K34" s="1002"/>
      <c r="L34" s="1002"/>
      <c r="M34" s="1002"/>
      <c r="N34" s="1002"/>
      <c r="O34" s="1002"/>
      <c r="P34" s="1002"/>
      <c r="Q34" s="1002"/>
      <c r="R34" s="1002"/>
      <c r="S34" s="1002"/>
      <c r="T34" s="1002"/>
      <c r="U34" s="1002"/>
    </row>
    <row r="35" spans="1:21" s="400" customFormat="1" ht="14.1" customHeight="1">
      <c r="A35" s="1002"/>
      <c r="B35" s="1002"/>
      <c r="C35" s="1002"/>
      <c r="D35" s="1002"/>
      <c r="E35" s="1002"/>
      <c r="F35" s="1002" t="s">
        <v>1417</v>
      </c>
      <c r="G35" s="1002"/>
      <c r="H35" s="1002"/>
      <c r="I35" s="1002"/>
      <c r="J35" s="1002"/>
      <c r="K35" s="1002"/>
      <c r="L35" s="1002"/>
      <c r="M35" s="1002"/>
      <c r="N35" s="1002"/>
      <c r="O35" s="1002"/>
      <c r="P35" s="1002"/>
      <c r="Q35" s="1002"/>
      <c r="R35" s="1002"/>
      <c r="S35" s="1002"/>
      <c r="T35" s="1002"/>
      <c r="U35" s="1002"/>
    </row>
    <row r="36" spans="1:21" s="400" customFormat="1" ht="14.1" customHeight="1">
      <c r="A36" s="1002"/>
      <c r="B36" s="1002"/>
      <c r="C36" s="1002"/>
      <c r="D36" s="1002"/>
      <c r="E36" s="1002"/>
      <c r="F36" s="1002" t="s">
        <v>1542</v>
      </c>
      <c r="G36" s="1002"/>
      <c r="H36" s="1002"/>
      <c r="I36" s="1002"/>
      <c r="J36" s="1002"/>
      <c r="K36" s="1002"/>
      <c r="L36" s="1002"/>
      <c r="M36" s="1002"/>
      <c r="N36" s="1002"/>
      <c r="O36" s="1002"/>
      <c r="P36" s="1002"/>
      <c r="Q36" s="1002"/>
      <c r="R36" s="1002"/>
      <c r="S36" s="1002"/>
      <c r="T36" s="1002"/>
      <c r="U36" s="1002"/>
    </row>
    <row r="37" spans="1:21" s="400" customFormat="1" ht="14.1" customHeight="1">
      <c r="A37" s="1002"/>
      <c r="B37" s="1002"/>
      <c r="C37" s="1002"/>
      <c r="D37" s="1002"/>
      <c r="E37" s="668" t="s">
        <v>1334</v>
      </c>
      <c r="F37" s="1002"/>
      <c r="G37" s="1002"/>
      <c r="H37" s="1002"/>
      <c r="I37" s="1002"/>
      <c r="J37" s="1002"/>
      <c r="K37" s="1002"/>
      <c r="L37" s="1002"/>
      <c r="M37" s="1002"/>
      <c r="N37" s="1002"/>
      <c r="O37" s="1002"/>
      <c r="P37" s="1002"/>
      <c r="Q37" s="1002"/>
      <c r="R37" s="1002"/>
      <c r="S37" s="1002"/>
      <c r="T37" s="1002"/>
      <c r="U37" s="1002"/>
    </row>
    <row r="38" spans="1:21" s="78" customFormat="1" ht="14.1" customHeight="1">
      <c r="A38" s="668"/>
      <c r="B38" s="668"/>
      <c r="C38" s="668"/>
      <c r="D38" s="668"/>
      <c r="E38" s="668"/>
      <c r="F38" s="1002" t="s">
        <v>1543</v>
      </c>
      <c r="G38" s="668"/>
      <c r="H38" s="668"/>
      <c r="I38" s="668"/>
      <c r="J38" s="668"/>
      <c r="K38" s="668"/>
      <c r="L38" s="668"/>
      <c r="M38" s="668"/>
      <c r="N38" s="668"/>
      <c r="O38" s="668"/>
      <c r="P38" s="668"/>
      <c r="Q38" s="668"/>
      <c r="R38" s="668"/>
      <c r="S38" s="668"/>
      <c r="T38" s="668"/>
      <c r="U38" s="668"/>
    </row>
    <row r="39" spans="1:21" s="78" customFormat="1" ht="14.1" customHeight="1">
      <c r="A39" s="668"/>
      <c r="B39" s="668"/>
      <c r="C39" s="668" t="s">
        <v>1370</v>
      </c>
      <c r="D39" s="668" t="s">
        <v>1342</v>
      </c>
      <c r="E39" s="668"/>
      <c r="F39" s="668"/>
      <c r="G39" s="668"/>
      <c r="H39" s="668"/>
      <c r="I39" s="668"/>
      <c r="J39" s="668"/>
      <c r="K39" s="668"/>
      <c r="L39" s="668"/>
      <c r="M39" s="668"/>
      <c r="N39" s="668"/>
      <c r="O39" s="668"/>
      <c r="P39" s="668"/>
      <c r="Q39" s="668"/>
      <c r="R39" s="668"/>
      <c r="S39" s="668"/>
      <c r="T39" s="668"/>
      <c r="U39" s="668"/>
    </row>
    <row r="40" spans="1:21" s="78" customFormat="1" ht="14.1" customHeight="1">
      <c r="A40" s="668"/>
      <c r="B40" s="668"/>
      <c r="C40" s="668"/>
      <c r="D40" s="668" t="s">
        <v>1344</v>
      </c>
      <c r="E40" s="668"/>
      <c r="F40" s="668"/>
      <c r="G40" s="668"/>
      <c r="H40" s="668"/>
      <c r="I40" s="668"/>
      <c r="J40" s="668"/>
      <c r="K40" s="668"/>
      <c r="L40" s="668"/>
      <c r="M40" s="668"/>
      <c r="N40" s="668"/>
      <c r="O40" s="668"/>
      <c r="P40" s="668"/>
      <c r="Q40" s="668"/>
      <c r="R40" s="668"/>
      <c r="S40" s="668"/>
      <c r="T40" s="668"/>
      <c r="U40" s="668"/>
    </row>
    <row r="41" spans="1:21" s="400" customFormat="1" ht="14.1" customHeight="1">
      <c r="A41" s="1002"/>
      <c r="B41" s="1002"/>
      <c r="C41" s="1002"/>
      <c r="D41" s="1002"/>
      <c r="E41" s="668" t="s">
        <v>1345</v>
      </c>
      <c r="F41" s="1002"/>
      <c r="G41" s="1002"/>
      <c r="H41" s="1002"/>
      <c r="I41" s="1002"/>
      <c r="J41" s="1002"/>
      <c r="K41" s="1002"/>
      <c r="L41" s="1002"/>
      <c r="M41" s="1002"/>
      <c r="N41" s="1002"/>
      <c r="O41" s="1002"/>
      <c r="P41" s="1002"/>
      <c r="Q41" s="1002"/>
      <c r="R41" s="1002"/>
      <c r="S41" s="1002"/>
      <c r="T41" s="1002"/>
      <c r="U41" s="1002"/>
    </row>
    <row r="42" spans="1:21" s="400" customFormat="1" ht="14.1" customHeight="1">
      <c r="A42" s="1002"/>
      <c r="B42" s="1002"/>
      <c r="C42" s="1002"/>
      <c r="D42" s="1002"/>
      <c r="E42" s="1002"/>
      <c r="F42" s="1002" t="s">
        <v>1544</v>
      </c>
      <c r="G42" s="1002"/>
      <c r="H42" s="1002"/>
      <c r="I42" s="1002"/>
      <c r="J42" s="1002"/>
      <c r="K42" s="1002"/>
      <c r="L42" s="1002"/>
      <c r="M42" s="1002"/>
      <c r="N42" s="1002"/>
      <c r="O42" s="1002"/>
      <c r="P42" s="1002"/>
      <c r="Q42" s="1002"/>
      <c r="R42" s="1002"/>
      <c r="S42" s="1002"/>
      <c r="T42" s="1002"/>
      <c r="U42" s="1002"/>
    </row>
    <row r="43" spans="1:21" s="78" customFormat="1" ht="14.1" customHeight="1">
      <c r="A43" s="668"/>
      <c r="B43" s="668"/>
      <c r="C43" s="668"/>
      <c r="D43" s="668"/>
      <c r="E43" s="668" t="s">
        <v>1348</v>
      </c>
      <c r="F43" s="668"/>
      <c r="G43" s="668"/>
      <c r="H43" s="668"/>
      <c r="I43" s="668"/>
      <c r="J43" s="668"/>
      <c r="K43" s="668"/>
      <c r="L43" s="668"/>
      <c r="M43" s="668"/>
      <c r="N43" s="668"/>
      <c r="O43" s="668"/>
      <c r="P43" s="668"/>
      <c r="Q43" s="668"/>
      <c r="R43" s="668"/>
      <c r="S43" s="668"/>
      <c r="T43" s="668"/>
      <c r="U43" s="668"/>
    </row>
    <row r="44" spans="1:21" s="400" customFormat="1" ht="14.1" customHeight="1">
      <c r="A44" s="1002"/>
      <c r="B44" s="1002"/>
      <c r="C44" s="1002"/>
      <c r="D44" s="1002"/>
      <c r="E44" s="1002"/>
      <c r="F44" s="1002" t="s">
        <v>1349</v>
      </c>
      <c r="G44" s="1002"/>
      <c r="H44" s="1002"/>
      <c r="I44" s="1002"/>
      <c r="J44" s="1002"/>
      <c r="K44" s="1002"/>
      <c r="L44" s="1002"/>
      <c r="M44" s="1002"/>
      <c r="N44" s="1002"/>
      <c r="O44" s="1002"/>
      <c r="P44" s="1002"/>
      <c r="Q44" s="1002"/>
      <c r="R44" s="1002"/>
      <c r="S44" s="1002"/>
      <c r="T44" s="1002"/>
      <c r="U44" s="1002"/>
    </row>
    <row r="45" spans="1:21" s="487" customFormat="1" ht="14.1" customHeight="1">
      <c r="A45" s="1002"/>
      <c r="B45" s="1002"/>
      <c r="C45" s="1002"/>
      <c r="D45" s="1002"/>
      <c r="E45" s="1002"/>
      <c r="F45" s="1002" t="s">
        <v>1545</v>
      </c>
      <c r="G45" s="1002"/>
      <c r="H45" s="1002"/>
      <c r="I45" s="1002"/>
      <c r="J45" s="1002"/>
      <c r="K45" s="1002"/>
      <c r="L45" s="1002"/>
      <c r="M45" s="1002"/>
      <c r="N45" s="1002"/>
      <c r="O45" s="1002"/>
      <c r="P45" s="1002"/>
      <c r="Q45" s="1002"/>
      <c r="R45" s="1002"/>
      <c r="S45" s="1002"/>
      <c r="T45" s="1002"/>
      <c r="U45" s="1002"/>
    </row>
    <row r="46" spans="1:21" s="487" customFormat="1" ht="14.1" customHeight="1">
      <c r="A46" s="1002"/>
      <c r="B46" s="1002"/>
      <c r="C46" s="1002"/>
      <c r="D46" s="1002"/>
      <c r="E46" s="668" t="s">
        <v>1352</v>
      </c>
      <c r="F46" s="1002"/>
      <c r="G46" s="1002"/>
      <c r="H46" s="1002"/>
      <c r="I46" s="1002"/>
      <c r="J46" s="1002"/>
      <c r="K46" s="1002"/>
      <c r="L46" s="1002"/>
      <c r="M46" s="1002"/>
      <c r="N46" s="1002"/>
      <c r="O46" s="1002"/>
      <c r="P46" s="1002"/>
      <c r="Q46" s="1002"/>
      <c r="R46" s="1002"/>
      <c r="S46" s="1002"/>
      <c r="T46" s="1002"/>
      <c r="U46" s="1002"/>
    </row>
    <row r="47" spans="1:21" s="487" customFormat="1" ht="14.1" customHeight="1">
      <c r="A47" s="1002"/>
      <c r="B47" s="1002"/>
      <c r="C47" s="1002"/>
      <c r="D47" s="1002"/>
      <c r="E47" s="1002"/>
      <c r="F47" s="1002" t="s">
        <v>1546</v>
      </c>
      <c r="G47" s="1002"/>
      <c r="H47" s="1002"/>
      <c r="I47" s="1002"/>
      <c r="J47" s="1002"/>
      <c r="K47" s="1002"/>
      <c r="L47" s="1002"/>
      <c r="M47" s="1002"/>
      <c r="N47" s="1002"/>
      <c r="O47" s="1002"/>
      <c r="P47" s="1002"/>
      <c r="Q47" s="1002"/>
      <c r="R47" s="1002"/>
      <c r="S47" s="1002"/>
      <c r="T47" s="1002"/>
      <c r="U47" s="1002"/>
    </row>
    <row r="48" spans="1:21" ht="14.1" customHeight="1">
      <c r="A48" s="668"/>
      <c r="B48" s="668"/>
      <c r="C48" s="668"/>
      <c r="D48" s="668"/>
      <c r="E48" s="668"/>
      <c r="F48" s="1002" t="s">
        <v>1547</v>
      </c>
      <c r="G48" s="668"/>
      <c r="H48" s="668"/>
      <c r="I48" s="668"/>
      <c r="J48" s="668"/>
      <c r="K48" s="668"/>
      <c r="L48" s="668"/>
      <c r="M48" s="668"/>
      <c r="N48" s="668"/>
      <c r="O48" s="668"/>
      <c r="P48" s="668"/>
      <c r="Q48" s="668"/>
      <c r="R48" s="668"/>
      <c r="S48" s="668"/>
      <c r="T48" s="668"/>
      <c r="U48" s="668"/>
    </row>
    <row r="49" spans="1:15" ht="14.1" customHeight="1">
      <c r="A49" s="668"/>
      <c r="B49" s="668"/>
      <c r="C49" s="668"/>
      <c r="D49" s="668"/>
      <c r="E49" s="668"/>
      <c r="F49" s="668"/>
      <c r="G49" s="668"/>
      <c r="H49" s="668"/>
      <c r="I49" s="668"/>
      <c r="J49" s="668"/>
      <c r="K49" s="668"/>
      <c r="L49" s="668"/>
      <c r="M49" s="668"/>
      <c r="N49" s="668"/>
      <c r="O49" s="668"/>
    </row>
    <row r="50" spans="1:15" ht="14.1" customHeight="1">
      <c r="A50" s="668"/>
      <c r="B50" s="668"/>
      <c r="C50" s="668"/>
      <c r="D50" s="668"/>
      <c r="E50" s="668"/>
      <c r="F50" s="668"/>
      <c r="G50" s="668"/>
      <c r="H50" s="668"/>
      <c r="I50" s="668"/>
      <c r="J50" s="668"/>
      <c r="K50" s="668"/>
      <c r="L50" s="668"/>
      <c r="M50" s="668"/>
      <c r="N50" s="668"/>
      <c r="O50" s="668"/>
    </row>
    <row r="51" spans="1:15" ht="14.1" customHeight="1">
      <c r="A51" s="668"/>
      <c r="B51" s="668"/>
      <c r="C51" s="668"/>
      <c r="D51" s="668"/>
      <c r="E51" s="668"/>
      <c r="F51" s="668"/>
      <c r="G51" s="668"/>
      <c r="H51" s="668"/>
      <c r="I51" s="668"/>
      <c r="J51" s="668"/>
      <c r="K51" s="668"/>
      <c r="L51" s="668"/>
      <c r="M51" s="668"/>
      <c r="N51" s="668"/>
      <c r="O51" s="668"/>
    </row>
    <row r="52" spans="1:15" ht="14.1" customHeight="1">
      <c r="A52" s="668"/>
      <c r="B52" s="668"/>
      <c r="C52" s="668"/>
      <c r="D52" s="668"/>
      <c r="E52" s="668"/>
      <c r="F52" s="668"/>
      <c r="G52" s="668"/>
      <c r="H52" s="668"/>
      <c r="I52" s="668"/>
      <c r="J52" s="668"/>
      <c r="K52" s="668"/>
      <c r="L52" s="668"/>
      <c r="M52" s="668"/>
      <c r="N52" s="668"/>
      <c r="O52" s="668"/>
    </row>
    <row r="53" spans="1:15" ht="14.1" customHeight="1">
      <c r="A53" s="668"/>
      <c r="B53" s="668"/>
      <c r="C53" s="668"/>
      <c r="D53" s="668"/>
      <c r="E53" s="668"/>
      <c r="F53" s="668"/>
      <c r="G53" s="668"/>
      <c r="H53" s="668"/>
      <c r="I53" s="668"/>
      <c r="J53" s="668"/>
      <c r="K53" s="668"/>
      <c r="L53" s="668"/>
      <c r="M53" s="668"/>
      <c r="N53" s="668"/>
      <c r="O53" s="668"/>
    </row>
    <row r="54" spans="1:15" ht="12.95" customHeight="1">
      <c r="A54" s="581"/>
      <c r="B54" s="581"/>
      <c r="C54" s="583"/>
      <c r="D54" s="581"/>
      <c r="E54" s="581"/>
      <c r="F54" s="581"/>
      <c r="G54" s="581"/>
      <c r="H54" s="581"/>
      <c r="I54" s="581"/>
      <c r="J54" s="581"/>
      <c r="K54" s="581"/>
      <c r="L54" s="581"/>
      <c r="M54" s="581"/>
      <c r="N54" s="581"/>
      <c r="O54" s="581"/>
    </row>
    <row r="55" spans="1:15" ht="8.25" customHeight="1">
      <c r="A55" s="581"/>
      <c r="B55" s="581"/>
      <c r="C55" s="583"/>
      <c r="D55" s="581"/>
      <c r="E55" s="581"/>
      <c r="F55" s="581"/>
      <c r="G55" s="581"/>
      <c r="H55" s="581"/>
      <c r="I55" s="581"/>
      <c r="J55" s="581"/>
      <c r="K55" s="581"/>
      <c r="L55" s="581"/>
      <c r="M55" s="581"/>
      <c r="N55" s="581"/>
      <c r="O55" s="581"/>
    </row>
    <row r="82" ht="19.5" customHeight="1"/>
  </sheetData>
  <sheetProtection algorithmName="SHA-512" hashValue="uTMFY7EgcrgvK3PiZ0dGwIzREExGhiI0bgRh/a8DOIEiaxrkwZeuUsZQQ9okQynuR0bQd3rCkpua+qBGy9CPHg==" saltValue="HJYNkqe3+UgUHtnEhXD6Xw==" spinCount="100000" sheet="1" objects="1" scenarios="1"/>
  <customSheetViews>
    <customSheetView guid="{06451E13-97D0-44F4-875B-E8D80B2F1CF1}" showPageBreaks="1" printArea="1" view="pageBreakPreview">
      <selection activeCell="AA7" sqref="AA7:AB7"/>
      <pageMargins left="0" right="0" top="0" bottom="0" header="0" footer="0"/>
      <printOptions horizontalCentered="1" verticalCentered="1"/>
      <pageSetup paperSize="9" scale="70" orientation="landscape" r:id="rId1"/>
      <headerFooter scaleWithDoc="0" alignWithMargins="0">
        <oddFooter>&amp;C&amp;"Arial,標準"&amp;12 25</oddFooter>
      </headerFooter>
    </customSheetView>
  </customSheetViews>
  <phoneticPr fontId="29"/>
  <printOptions horizontalCentered="1" verticalCentered="1"/>
  <pageMargins left="0" right="0" top="0" bottom="0" header="0" footer="0"/>
  <pageSetup paperSize="9" scale="70" orientation="landscape" r:id="rId2"/>
  <headerFooter scaleWithDoc="0" alignWithMargins="0">
    <oddFooter>&amp;C&amp;"Arial,標準"&amp;12 25</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U83"/>
  <sheetViews>
    <sheetView view="pageBreakPreview" zoomScale="55" zoomScaleNormal="85" zoomScaleSheetLayoutView="55" workbookViewId="0">
      <selection activeCell="V1" sqref="V1:AZ1048576"/>
    </sheetView>
  </sheetViews>
  <sheetFormatPr defaultColWidth="9.140625" defaultRowHeight="12" outlineLevelRow="1"/>
  <cols>
    <col min="1" max="1" width="10.140625" style="80" customWidth="1"/>
    <col min="2" max="2" width="2.28515625" style="80" customWidth="1"/>
    <col min="3" max="3" width="2.28515625" style="77" customWidth="1"/>
    <col min="4" max="5" width="2.28515625" style="80" customWidth="1"/>
    <col min="6" max="8" width="9.140625" style="80"/>
    <col min="9" max="10" width="11.140625" style="80" customWidth="1"/>
    <col min="11" max="11" width="12.85546875" style="80" customWidth="1"/>
    <col min="12" max="13" width="2.5703125" style="80" customWidth="1"/>
    <col min="14" max="14" width="78.7109375" style="80" customWidth="1"/>
    <col min="15" max="15" width="10.5703125" style="80" customWidth="1"/>
    <col min="16" max="16" width="4.85546875" style="80" customWidth="1"/>
    <col min="17" max="18" width="8.140625" style="80" customWidth="1"/>
    <col min="19" max="19" width="7.5703125" style="80" customWidth="1"/>
    <col min="20" max="20" width="9.140625" style="80"/>
    <col min="21" max="21" width="13.5703125" style="80" customWidth="1"/>
    <col min="22" max="52" width="0" style="80" hidden="1" customWidth="1"/>
    <col min="53" max="16384" width="9.140625" style="80"/>
  </cols>
  <sheetData>
    <row r="1" spans="1:21" ht="54" customHeight="1">
      <c r="A1" s="581"/>
      <c r="B1" s="581"/>
      <c r="C1" s="583"/>
      <c r="D1" s="581"/>
      <c r="E1" s="581"/>
      <c r="F1" s="581"/>
      <c r="G1" s="581"/>
      <c r="H1" s="581"/>
      <c r="I1" s="581"/>
      <c r="J1" s="581"/>
      <c r="K1" s="581"/>
      <c r="L1" s="581"/>
      <c r="M1" s="581"/>
      <c r="N1" s="581"/>
      <c r="O1" s="581"/>
    </row>
    <row r="2" spans="1:21" ht="15" customHeight="1">
      <c r="A2" s="585"/>
      <c r="B2" s="585"/>
      <c r="C2" s="586"/>
      <c r="D2" s="585"/>
      <c r="E2" s="585"/>
      <c r="F2" s="581"/>
      <c r="G2" s="581"/>
      <c r="H2" s="581"/>
      <c r="I2" s="581"/>
      <c r="J2" s="581"/>
      <c r="K2" s="581"/>
      <c r="L2" s="581"/>
      <c r="M2" s="581"/>
      <c r="N2" s="581"/>
      <c r="O2" s="581"/>
    </row>
    <row r="3" spans="1:21" ht="48" customHeight="1">
      <c r="A3" s="581"/>
      <c r="B3" s="581"/>
      <c r="C3" s="583"/>
      <c r="D3" s="581"/>
      <c r="E3" s="581"/>
      <c r="F3" s="581"/>
      <c r="G3" s="581"/>
      <c r="H3" s="581"/>
      <c r="I3" s="581"/>
      <c r="J3" s="581"/>
      <c r="K3" s="581"/>
      <c r="L3" s="581"/>
      <c r="M3" s="581"/>
      <c r="N3" s="581"/>
      <c r="O3" s="581"/>
    </row>
    <row r="4" spans="1:21" s="1952" customFormat="1" ht="18.75" customHeight="1">
      <c r="A4" s="1964"/>
      <c r="B4" s="1965" t="s">
        <v>1305</v>
      </c>
      <c r="C4" s="1966"/>
      <c r="D4" s="1964"/>
      <c r="E4" s="1964"/>
      <c r="F4" s="1964"/>
      <c r="G4" s="1964"/>
      <c r="H4" s="1964"/>
      <c r="I4" s="1964"/>
      <c r="J4" s="1964"/>
      <c r="K4" s="1964"/>
      <c r="L4" s="1964"/>
      <c r="M4" s="1964"/>
      <c r="N4" s="1964"/>
      <c r="O4" s="1964"/>
      <c r="P4" s="1964"/>
      <c r="Q4" s="1964"/>
      <c r="R4" s="1964"/>
      <c r="S4" s="1964"/>
      <c r="T4" s="1964"/>
      <c r="U4" s="1964"/>
    </row>
    <row r="5" spans="1:21" s="78" customFormat="1" ht="14.1" customHeight="1">
      <c r="A5" s="1958"/>
      <c r="B5" s="1958"/>
      <c r="C5" s="1967"/>
      <c r="D5" s="1958"/>
      <c r="E5" s="1958"/>
      <c r="F5" s="1958"/>
      <c r="G5" s="1958"/>
      <c r="H5" s="1958"/>
      <c r="I5" s="1958"/>
      <c r="J5" s="1958"/>
      <c r="K5" s="1958"/>
      <c r="L5" s="1958"/>
      <c r="M5" s="1968"/>
      <c r="N5" s="1968"/>
      <c r="O5" s="1969"/>
      <c r="P5" s="1958"/>
      <c r="Q5" s="1958"/>
      <c r="R5" s="1958"/>
      <c r="S5" s="1958"/>
      <c r="T5" s="1958"/>
      <c r="U5" s="1958"/>
    </row>
    <row r="6" spans="1:21" s="78" customFormat="1" ht="14.1" customHeight="1">
      <c r="A6" s="1958"/>
      <c r="B6" s="1958"/>
      <c r="C6" s="1970" t="s">
        <v>1335</v>
      </c>
      <c r="D6" s="1958" t="s">
        <v>1337</v>
      </c>
      <c r="E6" s="1958"/>
      <c r="F6" s="1958"/>
      <c r="G6" s="1958"/>
      <c r="H6" s="1958"/>
      <c r="I6" s="1958"/>
      <c r="J6" s="1958"/>
      <c r="K6" s="1958"/>
      <c r="L6" s="1968"/>
      <c r="M6" s="1958"/>
      <c r="N6" s="1968"/>
      <c r="O6" s="1958"/>
      <c r="P6" s="1958"/>
      <c r="Q6" s="1958"/>
      <c r="R6" s="1958"/>
      <c r="S6" s="1958"/>
      <c r="T6" s="1958"/>
      <c r="U6" s="1958"/>
    </row>
    <row r="7" spans="1:21" s="78" customFormat="1" ht="14.1" customHeight="1">
      <c r="A7" s="1958"/>
      <c r="B7" s="1958"/>
      <c r="C7" s="1970"/>
      <c r="D7" s="1972" t="s">
        <v>1338</v>
      </c>
      <c r="E7" s="1958"/>
      <c r="F7" s="1972"/>
      <c r="G7" s="1958"/>
      <c r="H7" s="1958"/>
      <c r="I7" s="1958"/>
      <c r="J7" s="1958"/>
      <c r="K7" s="1958"/>
      <c r="L7" s="1958"/>
      <c r="M7" s="1958"/>
      <c r="N7" s="1968"/>
      <c r="O7" s="1958"/>
      <c r="P7" s="1958"/>
      <c r="Q7" s="1958"/>
      <c r="R7" s="1958"/>
      <c r="S7" s="1958"/>
      <c r="T7" s="1958"/>
      <c r="U7" s="1958"/>
    </row>
    <row r="8" spans="1:21" s="78" customFormat="1" ht="14.1" customHeight="1">
      <c r="A8" s="1958"/>
      <c r="B8" s="1958"/>
      <c r="C8" s="1970"/>
      <c r="D8" s="1972"/>
      <c r="E8" s="1958" t="s">
        <v>1353</v>
      </c>
      <c r="F8" s="1972"/>
      <c r="G8" s="1958"/>
      <c r="H8" s="1958"/>
      <c r="I8" s="1958"/>
      <c r="J8" s="1958"/>
      <c r="K8" s="1958"/>
      <c r="L8" s="1968"/>
      <c r="M8" s="1958"/>
      <c r="N8" s="1968"/>
      <c r="O8" s="1958"/>
      <c r="P8" s="1958"/>
      <c r="Q8" s="1958"/>
      <c r="R8" s="1958"/>
      <c r="S8" s="1958"/>
      <c r="T8" s="1958"/>
      <c r="U8" s="1958"/>
    </row>
    <row r="9" spans="1:21" s="400" customFormat="1" ht="14.1" customHeight="1">
      <c r="A9" s="1960"/>
      <c r="B9" s="1960"/>
      <c r="C9" s="1971"/>
      <c r="D9" s="1959"/>
      <c r="E9" s="1960"/>
      <c r="F9" s="1959" t="s">
        <v>1452</v>
      </c>
      <c r="G9" s="1960"/>
      <c r="H9" s="1960"/>
      <c r="I9" s="1960"/>
      <c r="J9" s="1960"/>
      <c r="K9" s="1960"/>
      <c r="L9" s="1973"/>
      <c r="M9" s="1960"/>
      <c r="N9" s="1973"/>
      <c r="O9" s="1974"/>
      <c r="P9" s="1960"/>
      <c r="Q9" s="1960"/>
      <c r="R9" s="1960"/>
      <c r="S9" s="1960"/>
      <c r="T9" s="1960"/>
      <c r="U9" s="1960"/>
    </row>
    <row r="10" spans="1:21" s="400" customFormat="1" ht="14.1" customHeight="1">
      <c r="A10" s="1960"/>
      <c r="B10" s="1960"/>
      <c r="C10" s="1971"/>
      <c r="D10" s="1959"/>
      <c r="E10" s="1960"/>
      <c r="F10" s="1959" t="s">
        <v>1453</v>
      </c>
      <c r="G10" s="1960"/>
      <c r="H10" s="1960"/>
      <c r="I10" s="1960"/>
      <c r="J10" s="1960"/>
      <c r="K10" s="1960"/>
      <c r="L10" s="1973"/>
      <c r="M10" s="1960"/>
      <c r="N10" s="1973"/>
      <c r="O10" s="1974"/>
      <c r="P10" s="1960"/>
      <c r="Q10" s="1960"/>
      <c r="R10" s="1960"/>
      <c r="S10" s="1960"/>
      <c r="T10" s="1960"/>
      <c r="U10" s="1960"/>
    </row>
    <row r="11" spans="1:21" s="400" customFormat="1" ht="14.1" customHeight="1">
      <c r="A11" s="1960"/>
      <c r="B11" s="1960"/>
      <c r="C11" s="1971"/>
      <c r="D11" s="1959"/>
      <c r="E11" s="1960"/>
      <c r="F11" s="2014" t="s">
        <v>1481</v>
      </c>
      <c r="G11" s="1960"/>
      <c r="H11" s="1960"/>
      <c r="I11" s="1960"/>
      <c r="J11" s="1960"/>
      <c r="K11" s="1960"/>
      <c r="L11" s="1973"/>
      <c r="M11" s="1960"/>
      <c r="N11" s="1973"/>
      <c r="O11" s="1974"/>
      <c r="P11" s="1960"/>
      <c r="Q11" s="1960"/>
      <c r="R11" s="1960"/>
      <c r="S11" s="1960"/>
      <c r="T11" s="1960"/>
      <c r="U11" s="1960"/>
    </row>
    <row r="12" spans="1:21" s="400" customFormat="1" ht="14.1" customHeight="1">
      <c r="A12" s="1960"/>
      <c r="B12" s="1960"/>
      <c r="C12" s="1971"/>
      <c r="D12" s="1959"/>
      <c r="E12" s="1960"/>
      <c r="F12" s="1959" t="s">
        <v>1415</v>
      </c>
      <c r="G12" s="1960"/>
      <c r="H12" s="1960"/>
      <c r="I12" s="1960"/>
      <c r="J12" s="1960"/>
      <c r="K12" s="1960"/>
      <c r="L12" s="1973"/>
      <c r="M12" s="1960"/>
      <c r="N12" s="1973"/>
      <c r="O12" s="1974"/>
      <c r="P12" s="1960"/>
      <c r="Q12" s="1960"/>
      <c r="R12" s="1960"/>
      <c r="S12" s="1960"/>
      <c r="T12" s="1960"/>
      <c r="U12" s="1960"/>
    </row>
    <row r="13" spans="1:21" s="78" customFormat="1" ht="14.1" customHeight="1">
      <c r="A13" s="1958"/>
      <c r="B13" s="1958"/>
      <c r="C13" s="1970"/>
      <c r="D13" s="1958" t="s">
        <v>1355</v>
      </c>
      <c r="E13" s="1958"/>
      <c r="F13" s="1958"/>
      <c r="G13" s="1958"/>
      <c r="H13" s="1958"/>
      <c r="I13" s="1958"/>
      <c r="J13" s="1958"/>
      <c r="K13" s="1958"/>
      <c r="L13" s="1968"/>
      <c r="M13" s="1958"/>
      <c r="N13" s="1968"/>
      <c r="O13" s="1969"/>
      <c r="P13" s="1958"/>
      <c r="Q13" s="1958"/>
      <c r="R13" s="1958"/>
      <c r="S13" s="1958"/>
      <c r="T13" s="1958"/>
      <c r="U13" s="1958"/>
    </row>
    <row r="14" spans="1:21" s="78" customFormat="1" ht="14.1" hidden="1" customHeight="1" outlineLevel="1">
      <c r="A14" s="1958"/>
      <c r="B14" s="1958"/>
      <c r="C14" s="1970"/>
      <c r="D14" s="1958"/>
      <c r="E14" s="1958" t="s">
        <v>1356</v>
      </c>
      <c r="F14" s="1958"/>
      <c r="G14" s="1958"/>
      <c r="H14" s="1958"/>
      <c r="I14" s="1958"/>
      <c r="J14" s="1958"/>
      <c r="K14" s="1958"/>
      <c r="L14" s="1968"/>
      <c r="M14" s="1958"/>
      <c r="N14" s="1968"/>
      <c r="O14" s="1969"/>
      <c r="P14" s="1958"/>
      <c r="Q14" s="1958"/>
      <c r="R14" s="1958"/>
      <c r="S14" s="1958"/>
      <c r="T14" s="1958"/>
      <c r="U14" s="1958"/>
    </row>
    <row r="15" spans="1:21" s="78" customFormat="1" ht="14.1" hidden="1" customHeight="1" outlineLevel="1">
      <c r="A15" s="1958"/>
      <c r="B15" s="1958"/>
      <c r="C15" s="1970"/>
      <c r="D15" s="1958"/>
      <c r="E15" s="1958"/>
      <c r="F15" s="1960" t="s">
        <v>1357</v>
      </c>
      <c r="G15" s="1958"/>
      <c r="H15" s="1958"/>
      <c r="I15" s="1958"/>
      <c r="J15" s="1958"/>
      <c r="K15" s="1958"/>
      <c r="L15" s="1968"/>
      <c r="M15" s="1958"/>
      <c r="N15" s="1968"/>
      <c r="O15" s="1969"/>
      <c r="P15" s="1958"/>
      <c r="Q15" s="1958"/>
      <c r="R15" s="1958"/>
      <c r="S15" s="1958"/>
      <c r="T15" s="1958"/>
      <c r="U15" s="1958"/>
    </row>
    <row r="16" spans="1:21" s="78" customFormat="1" ht="14.1" hidden="1" customHeight="1" outlineLevel="1">
      <c r="A16" s="1958"/>
      <c r="B16" s="1958"/>
      <c r="C16" s="1970"/>
      <c r="D16" s="1958"/>
      <c r="E16" s="1960"/>
      <c r="F16" s="1976" t="s">
        <v>1358</v>
      </c>
      <c r="G16" s="1958"/>
      <c r="H16" s="1958"/>
      <c r="I16" s="1958"/>
      <c r="J16" s="1958"/>
      <c r="K16" s="1958"/>
      <c r="L16" s="1968"/>
      <c r="M16" s="1958"/>
      <c r="N16" s="1968"/>
      <c r="O16" s="1969"/>
      <c r="P16" s="1958"/>
      <c r="Q16" s="1958"/>
      <c r="R16" s="1958"/>
      <c r="S16" s="1958"/>
      <c r="T16" s="1958"/>
      <c r="U16" s="1958"/>
    </row>
    <row r="17" spans="1:21" s="400" customFormat="1" ht="14.1" customHeight="1" collapsed="1">
      <c r="A17" s="1960"/>
      <c r="B17" s="1960"/>
      <c r="C17" s="1971"/>
      <c r="D17" s="1960"/>
      <c r="E17" s="1958" t="s">
        <v>1362</v>
      </c>
      <c r="F17" s="1976"/>
      <c r="G17" s="1960"/>
      <c r="H17" s="1960"/>
      <c r="I17" s="1960"/>
      <c r="J17" s="1960"/>
      <c r="K17" s="1960"/>
      <c r="L17" s="1973"/>
      <c r="M17" s="1960"/>
      <c r="N17" s="1973"/>
      <c r="O17" s="1974"/>
      <c r="P17" s="1960"/>
      <c r="Q17" s="1960"/>
      <c r="R17" s="1960"/>
      <c r="S17" s="1960"/>
      <c r="T17" s="1960"/>
      <c r="U17" s="1960"/>
    </row>
    <row r="18" spans="1:21" s="400" customFormat="1" ht="14.1" hidden="1" customHeight="1" outlineLevel="1">
      <c r="A18" s="1960"/>
      <c r="B18" s="1960"/>
      <c r="C18" s="1971"/>
      <c r="D18" s="1960"/>
      <c r="E18" s="1958"/>
      <c r="F18" s="1961" t="s">
        <v>1181</v>
      </c>
      <c r="G18" s="1960"/>
      <c r="H18" s="1960"/>
      <c r="I18" s="1960"/>
      <c r="J18" s="1960"/>
      <c r="K18" s="1960"/>
      <c r="L18" s="1973"/>
      <c r="M18" s="1960"/>
      <c r="N18" s="1973"/>
      <c r="O18" s="1974"/>
      <c r="P18" s="1960"/>
      <c r="Q18" s="1960"/>
      <c r="R18" s="1960"/>
      <c r="S18" s="1960"/>
      <c r="T18" s="1960"/>
      <c r="U18" s="1960"/>
    </row>
    <row r="19" spans="1:21" s="400" customFormat="1" ht="14.1" customHeight="1" collapsed="1">
      <c r="A19" s="1960"/>
      <c r="B19" s="1960"/>
      <c r="C19" s="1971"/>
      <c r="D19" s="1960"/>
      <c r="E19" s="1960"/>
      <c r="F19" s="1959" t="s">
        <v>1363</v>
      </c>
      <c r="G19" s="1960"/>
      <c r="H19" s="1960"/>
      <c r="I19" s="1960"/>
      <c r="J19" s="1960"/>
      <c r="K19" s="1960"/>
      <c r="L19" s="1973"/>
      <c r="M19" s="1960"/>
      <c r="N19" s="1973"/>
      <c r="O19" s="1974"/>
      <c r="P19" s="1960"/>
      <c r="Q19" s="1960"/>
      <c r="R19" s="1960"/>
      <c r="S19" s="1960"/>
      <c r="T19" s="1960"/>
      <c r="U19" s="1960"/>
    </row>
    <row r="20" spans="1:21" s="400" customFormat="1" ht="14.1" customHeight="1">
      <c r="A20" s="1960"/>
      <c r="B20" s="1960"/>
      <c r="C20" s="1971"/>
      <c r="D20" s="1960"/>
      <c r="E20" s="1960"/>
      <c r="F20" s="1959"/>
      <c r="G20" s="1960"/>
      <c r="H20" s="1960"/>
      <c r="I20" s="1960"/>
      <c r="J20" s="1960"/>
      <c r="K20" s="1960"/>
      <c r="L20" s="1973"/>
      <c r="M20" s="1960"/>
      <c r="N20" s="1973"/>
      <c r="O20" s="1974"/>
      <c r="P20" s="1960"/>
      <c r="Q20" s="1960"/>
      <c r="R20" s="1960"/>
      <c r="S20" s="1960"/>
      <c r="T20" s="1960"/>
      <c r="U20" s="1960"/>
    </row>
    <row r="21" spans="1:21" s="400" customFormat="1" ht="14.1" customHeight="1">
      <c r="A21" s="1960"/>
      <c r="B21" s="1960"/>
      <c r="C21" s="1977"/>
      <c r="D21" s="1960"/>
      <c r="E21" s="1960"/>
      <c r="F21" s="1959"/>
      <c r="G21" s="1960"/>
      <c r="H21" s="1960"/>
      <c r="I21" s="1960"/>
      <c r="J21" s="1960"/>
      <c r="K21" s="1960"/>
      <c r="L21" s="1973"/>
      <c r="M21" s="1973"/>
      <c r="N21" s="1973"/>
      <c r="O21" s="1974"/>
      <c r="P21" s="1960"/>
      <c r="Q21" s="1960"/>
      <c r="R21" s="1960"/>
      <c r="S21" s="1960"/>
      <c r="T21" s="1960"/>
      <c r="U21" s="1960"/>
    </row>
    <row r="22" spans="1:21" s="78" customFormat="1" ht="14.1" customHeight="1">
      <c r="A22" s="1958"/>
      <c r="B22" s="1958"/>
      <c r="C22" s="1967"/>
      <c r="D22" s="1958"/>
      <c r="E22" s="1958"/>
      <c r="F22" s="1958"/>
      <c r="G22" s="1958"/>
      <c r="H22" s="1958"/>
      <c r="I22" s="1958"/>
      <c r="J22" s="1958"/>
      <c r="K22" s="1958"/>
      <c r="L22" s="1968"/>
      <c r="M22" s="1968"/>
      <c r="N22" s="1968"/>
      <c r="O22" s="1969"/>
      <c r="P22" s="1958"/>
      <c r="Q22" s="1958"/>
      <c r="R22" s="1958"/>
      <c r="S22" s="1958"/>
      <c r="T22" s="1958"/>
      <c r="U22" s="1958"/>
    </row>
    <row r="23" spans="1:21" s="78" customFormat="1" ht="14.1" customHeight="1">
      <c r="A23" s="1958"/>
      <c r="B23" s="1958"/>
      <c r="C23" s="1967"/>
      <c r="D23" s="1958"/>
      <c r="E23" s="1958"/>
      <c r="F23" s="1958"/>
      <c r="G23" s="1958"/>
      <c r="H23" s="1958"/>
      <c r="I23" s="1958"/>
      <c r="J23" s="1958"/>
      <c r="K23" s="1958"/>
      <c r="L23" s="1968"/>
      <c r="M23" s="1968"/>
      <c r="N23" s="1968"/>
      <c r="O23" s="1969"/>
      <c r="P23" s="1958"/>
      <c r="Q23" s="1958"/>
      <c r="R23" s="1958"/>
      <c r="S23" s="1958"/>
      <c r="T23" s="1958"/>
      <c r="U23" s="1958"/>
    </row>
    <row r="24" spans="1:21" s="78" customFormat="1" ht="14.1" customHeight="1">
      <c r="A24" s="1958"/>
      <c r="B24" s="1958"/>
      <c r="C24" s="1967"/>
      <c r="D24" s="1958"/>
      <c r="E24" s="1958"/>
      <c r="F24" s="1958"/>
      <c r="G24" s="1958"/>
      <c r="H24" s="1958"/>
      <c r="I24" s="1958"/>
      <c r="J24" s="1958"/>
      <c r="K24" s="1958"/>
      <c r="L24" s="1968"/>
      <c r="M24" s="1968"/>
      <c r="N24" s="1968"/>
      <c r="O24" s="1969"/>
      <c r="P24" s="1958"/>
      <c r="Q24" s="1958"/>
      <c r="R24" s="1958"/>
      <c r="S24" s="1958"/>
      <c r="T24" s="1958"/>
      <c r="U24" s="1958"/>
    </row>
    <row r="25" spans="1:21" s="78" customFormat="1" ht="14.1" customHeight="1">
      <c r="A25" s="1958"/>
      <c r="B25" s="1958"/>
      <c r="C25" s="1967"/>
      <c r="D25" s="1958"/>
      <c r="E25" s="1958"/>
      <c r="F25" s="1958"/>
      <c r="G25" s="1958"/>
      <c r="H25" s="1958"/>
      <c r="I25" s="1958"/>
      <c r="J25" s="1958"/>
      <c r="K25" s="1958"/>
      <c r="L25" s="1968"/>
      <c r="M25" s="1968"/>
      <c r="N25" s="1968"/>
      <c r="O25" s="1969"/>
      <c r="P25" s="1958"/>
      <c r="Q25" s="1958"/>
      <c r="R25" s="1958"/>
      <c r="S25" s="1958"/>
      <c r="T25" s="1958"/>
      <c r="U25" s="1958"/>
    </row>
    <row r="26" spans="1:21" s="78" customFormat="1" ht="14.1" customHeight="1">
      <c r="A26" s="581"/>
      <c r="B26" s="581"/>
      <c r="C26" s="583"/>
      <c r="D26" s="581"/>
      <c r="E26" s="581"/>
      <c r="F26" s="581"/>
      <c r="G26" s="581"/>
      <c r="H26" s="581"/>
      <c r="I26" s="581"/>
      <c r="J26" s="581"/>
      <c r="K26" s="581"/>
      <c r="L26" s="584"/>
      <c r="M26" s="584"/>
      <c r="N26" s="584"/>
      <c r="O26" s="582"/>
    </row>
    <row r="27" spans="1:21" s="1952" customFormat="1" ht="14.1" customHeight="1">
      <c r="A27" s="1954"/>
      <c r="B27" s="1978" t="s">
        <v>1720</v>
      </c>
      <c r="C27" s="1953"/>
      <c r="D27" s="1954"/>
      <c r="E27" s="1954"/>
      <c r="F27" s="1954"/>
      <c r="G27" s="1954"/>
      <c r="H27" s="1954"/>
      <c r="I27" s="1954"/>
      <c r="J27" s="1954"/>
      <c r="K27" s="1954"/>
      <c r="L27" s="1955"/>
      <c r="M27" s="1955"/>
      <c r="N27" s="1955"/>
      <c r="O27" s="1956"/>
      <c r="P27" s="1954"/>
      <c r="Q27" s="1954"/>
      <c r="R27" s="1954"/>
      <c r="S27" s="1954"/>
      <c r="T27" s="1954"/>
      <c r="U27" s="1954"/>
    </row>
    <row r="28" spans="1:21" s="78" customFormat="1" ht="14.1" customHeight="1">
      <c r="A28" s="668"/>
      <c r="B28" s="668"/>
      <c r="C28" s="668"/>
      <c r="D28" s="668"/>
      <c r="E28" s="668"/>
      <c r="F28" s="668"/>
      <c r="G28" s="668"/>
      <c r="H28" s="668"/>
      <c r="I28" s="668"/>
      <c r="J28" s="668"/>
      <c r="K28" s="668"/>
      <c r="L28" s="668"/>
      <c r="M28" s="668"/>
      <c r="N28" s="668"/>
      <c r="O28" s="668"/>
      <c r="P28" s="668"/>
      <c r="Q28" s="668"/>
      <c r="R28" s="668"/>
      <c r="S28" s="668"/>
      <c r="T28" s="668"/>
      <c r="U28" s="668"/>
    </row>
    <row r="29" spans="1:21" s="78" customFormat="1" ht="14.1" customHeight="1">
      <c r="A29" s="668"/>
      <c r="B29" s="668"/>
      <c r="C29" s="668" t="s">
        <v>1335</v>
      </c>
      <c r="D29" s="668" t="s">
        <v>1341</v>
      </c>
      <c r="E29" s="668"/>
      <c r="F29" s="668"/>
      <c r="G29" s="668"/>
      <c r="H29" s="668"/>
      <c r="I29" s="668"/>
      <c r="J29" s="668"/>
      <c r="K29" s="668"/>
      <c r="L29" s="668"/>
      <c r="M29" s="668"/>
      <c r="N29" s="668"/>
      <c r="O29" s="668"/>
      <c r="P29" s="668"/>
      <c r="Q29" s="668"/>
      <c r="R29" s="668"/>
      <c r="S29" s="668"/>
      <c r="T29" s="668"/>
      <c r="U29" s="668"/>
    </row>
    <row r="30" spans="1:21" s="400" customFormat="1" ht="14.1" customHeight="1">
      <c r="A30" s="1002"/>
      <c r="B30" s="1002"/>
      <c r="C30" s="1002"/>
      <c r="D30" s="668" t="s">
        <v>1343</v>
      </c>
      <c r="E30" s="1002"/>
      <c r="F30" s="1002"/>
      <c r="G30" s="1002"/>
      <c r="H30" s="1002"/>
      <c r="I30" s="1002"/>
      <c r="J30" s="1002"/>
      <c r="K30" s="1002"/>
      <c r="L30" s="1002"/>
      <c r="M30" s="1002"/>
      <c r="N30" s="1002"/>
      <c r="O30" s="1002"/>
      <c r="P30" s="1002"/>
      <c r="Q30" s="1002"/>
      <c r="R30" s="1002"/>
      <c r="S30" s="1002"/>
      <c r="T30" s="1002"/>
      <c r="U30" s="1002"/>
    </row>
    <row r="31" spans="1:21" s="400" customFormat="1" ht="14.1" customHeight="1">
      <c r="A31" s="1002"/>
      <c r="B31" s="1002"/>
      <c r="C31" s="1002"/>
      <c r="D31" s="668"/>
      <c r="E31" s="668" t="s">
        <v>1354</v>
      </c>
      <c r="F31" s="1002"/>
      <c r="G31" s="1002"/>
      <c r="H31" s="1002"/>
      <c r="I31" s="1002"/>
      <c r="J31" s="1002"/>
      <c r="K31" s="1002"/>
      <c r="L31" s="1002"/>
      <c r="M31" s="1002"/>
      <c r="N31" s="1002"/>
      <c r="O31" s="1002"/>
      <c r="P31" s="1002"/>
      <c r="Q31" s="1002"/>
      <c r="R31" s="1002"/>
      <c r="S31" s="1002"/>
      <c r="T31" s="1002"/>
      <c r="U31" s="1002"/>
    </row>
    <row r="32" spans="1:21" s="400" customFormat="1" ht="14.1" customHeight="1">
      <c r="A32" s="1002"/>
      <c r="B32" s="1002"/>
      <c r="C32" s="1002"/>
      <c r="D32" s="1002"/>
      <c r="E32" s="1002"/>
      <c r="F32" s="1002" t="s">
        <v>1548</v>
      </c>
      <c r="G32" s="1002"/>
      <c r="H32" s="1002"/>
      <c r="I32" s="1002"/>
      <c r="J32" s="1002"/>
      <c r="K32" s="1002"/>
      <c r="L32" s="1002"/>
      <c r="M32" s="1002"/>
      <c r="N32" s="1002"/>
      <c r="O32" s="1002"/>
      <c r="P32" s="1002"/>
      <c r="Q32" s="1002"/>
      <c r="R32" s="1002"/>
      <c r="S32" s="1002"/>
      <c r="T32" s="1002"/>
      <c r="U32" s="1002"/>
    </row>
    <row r="33" spans="1:21" s="400" customFormat="1" ht="14.1" customHeight="1">
      <c r="A33" s="1002"/>
      <c r="B33" s="1002"/>
      <c r="C33" s="1002"/>
      <c r="D33" s="1002"/>
      <c r="E33" s="1002"/>
      <c r="F33" s="1002" t="s">
        <v>1549</v>
      </c>
      <c r="G33" s="1002"/>
      <c r="H33" s="1002"/>
      <c r="I33" s="1002"/>
      <c r="J33" s="1002"/>
      <c r="K33" s="1002"/>
      <c r="L33" s="1002"/>
      <c r="M33" s="1002"/>
      <c r="N33" s="1002"/>
      <c r="O33" s="1002"/>
      <c r="P33" s="1002"/>
      <c r="Q33" s="1002"/>
      <c r="R33" s="1002"/>
      <c r="S33" s="1002"/>
      <c r="T33" s="1002"/>
      <c r="U33" s="1002"/>
    </row>
    <row r="34" spans="1:21" s="400" customFormat="1" ht="14.1" customHeight="1">
      <c r="A34" s="1002"/>
      <c r="B34" s="1002"/>
      <c r="C34" s="1002"/>
      <c r="D34" s="1002"/>
      <c r="E34" s="1002"/>
      <c r="F34" s="1002" t="s">
        <v>1550</v>
      </c>
      <c r="G34" s="1002"/>
      <c r="H34" s="1002"/>
      <c r="I34" s="1002"/>
      <c r="J34" s="1002"/>
      <c r="K34" s="1002"/>
      <c r="L34" s="1002"/>
      <c r="M34" s="1002"/>
      <c r="N34" s="1002"/>
      <c r="O34" s="1002"/>
      <c r="P34" s="1002"/>
      <c r="Q34" s="1002"/>
      <c r="R34" s="1002"/>
      <c r="S34" s="1002"/>
      <c r="T34" s="1002"/>
      <c r="U34" s="1002"/>
    </row>
    <row r="35" spans="1:21" s="400" customFormat="1" ht="14.1" customHeight="1">
      <c r="A35" s="1002"/>
      <c r="B35" s="1002"/>
      <c r="C35" s="1002"/>
      <c r="D35" s="1002"/>
      <c r="E35" s="1002"/>
      <c r="F35" s="1002" t="s">
        <v>1551</v>
      </c>
      <c r="G35" s="1002"/>
      <c r="H35" s="1002"/>
      <c r="I35" s="1002"/>
      <c r="J35" s="1002"/>
      <c r="K35" s="1002"/>
      <c r="L35" s="1002"/>
      <c r="M35" s="1002"/>
      <c r="N35" s="1002"/>
      <c r="O35" s="1002"/>
      <c r="P35" s="1002"/>
      <c r="Q35" s="1002"/>
      <c r="R35" s="1002"/>
      <c r="S35" s="1002"/>
      <c r="T35" s="1002"/>
      <c r="U35" s="1002"/>
    </row>
    <row r="36" spans="1:21" s="400" customFormat="1" ht="14.1" customHeight="1">
      <c r="A36" s="1002"/>
      <c r="B36" s="1002"/>
      <c r="C36" s="1002"/>
      <c r="D36" s="668" t="s">
        <v>1360</v>
      </c>
      <c r="E36" s="1002"/>
      <c r="F36" s="1957"/>
      <c r="G36" s="1002"/>
      <c r="H36" s="1002"/>
      <c r="I36" s="1002"/>
      <c r="J36" s="1002"/>
      <c r="K36" s="1002"/>
      <c r="L36" s="1002"/>
      <c r="M36" s="1002"/>
      <c r="N36" s="1002"/>
      <c r="O36" s="1002"/>
      <c r="P36" s="1002"/>
      <c r="Q36" s="1002"/>
      <c r="R36" s="1002"/>
      <c r="S36" s="1002"/>
      <c r="T36" s="1002"/>
      <c r="U36" s="1002"/>
    </row>
    <row r="37" spans="1:21" s="400" customFormat="1" ht="14.1" hidden="1" customHeight="1" outlineLevel="1">
      <c r="A37" s="1002"/>
      <c r="B37" s="1002"/>
      <c r="C37" s="1002"/>
      <c r="D37" s="1002"/>
      <c r="E37" s="668" t="s">
        <v>1359</v>
      </c>
      <c r="F37" s="1957"/>
      <c r="G37" s="1002"/>
      <c r="H37" s="1002"/>
      <c r="I37" s="1002"/>
      <c r="J37" s="1002"/>
      <c r="K37" s="1002"/>
      <c r="L37" s="1002"/>
      <c r="M37" s="1002"/>
      <c r="N37" s="1002"/>
      <c r="O37" s="1002"/>
      <c r="P37" s="1002"/>
      <c r="Q37" s="1002"/>
      <c r="R37" s="1002"/>
      <c r="S37" s="1002"/>
      <c r="T37" s="1002"/>
      <c r="U37" s="1002"/>
    </row>
    <row r="38" spans="1:21" s="400" customFormat="1" ht="14.1" hidden="1" customHeight="1" outlineLevel="1">
      <c r="A38" s="1002"/>
      <c r="B38" s="1002"/>
      <c r="C38" s="1002"/>
      <c r="D38" s="1002"/>
      <c r="E38" s="1002"/>
      <c r="F38" s="1002" t="s">
        <v>1552</v>
      </c>
      <c r="G38" s="1002"/>
      <c r="H38" s="1002"/>
      <c r="I38" s="1002"/>
      <c r="J38" s="1002"/>
      <c r="K38" s="1002"/>
      <c r="L38" s="1002"/>
      <c r="M38" s="1002"/>
      <c r="N38" s="1002"/>
      <c r="O38" s="1002"/>
      <c r="P38" s="1002"/>
      <c r="Q38" s="1002"/>
      <c r="R38" s="1002"/>
      <c r="S38" s="1002"/>
      <c r="T38" s="1002"/>
      <c r="U38" s="1002"/>
    </row>
    <row r="39" spans="1:21" s="78" customFormat="1" ht="14.1" hidden="1" customHeight="1" outlineLevel="1">
      <c r="A39" s="668"/>
      <c r="B39" s="668"/>
      <c r="C39" s="668"/>
      <c r="D39" s="668"/>
      <c r="E39" s="668"/>
      <c r="F39" s="1002" t="s">
        <v>1361</v>
      </c>
      <c r="G39" s="668"/>
      <c r="H39" s="668"/>
      <c r="I39" s="668"/>
      <c r="J39" s="668"/>
      <c r="K39" s="668"/>
      <c r="L39" s="668"/>
      <c r="M39" s="668"/>
      <c r="N39" s="668"/>
      <c r="O39" s="668"/>
      <c r="P39" s="668"/>
      <c r="Q39" s="668"/>
      <c r="R39" s="668"/>
      <c r="S39" s="668"/>
      <c r="T39" s="668"/>
      <c r="U39" s="668"/>
    </row>
    <row r="40" spans="1:21" s="78" customFormat="1" ht="14.1" customHeight="1" collapsed="1">
      <c r="A40" s="668"/>
      <c r="B40" s="668"/>
      <c r="C40" s="668"/>
      <c r="D40" s="668"/>
      <c r="E40" s="668" t="s">
        <v>1364</v>
      </c>
      <c r="F40" s="668"/>
      <c r="G40" s="668"/>
      <c r="H40" s="668"/>
      <c r="I40" s="668"/>
      <c r="J40" s="668"/>
      <c r="K40" s="668"/>
      <c r="L40" s="668"/>
      <c r="M40" s="668"/>
      <c r="N40" s="668"/>
      <c r="O40" s="668"/>
      <c r="P40" s="668"/>
      <c r="Q40" s="668"/>
      <c r="R40" s="668"/>
      <c r="S40" s="668"/>
      <c r="T40" s="668"/>
      <c r="U40" s="668"/>
    </row>
    <row r="41" spans="1:21" s="78" customFormat="1" ht="14.1" hidden="1" customHeight="1" outlineLevel="1">
      <c r="A41" s="668"/>
      <c r="B41" s="668"/>
      <c r="C41" s="668"/>
      <c r="D41" s="668"/>
      <c r="E41" s="668"/>
      <c r="F41" s="1002" t="s">
        <v>1184</v>
      </c>
      <c r="G41" s="668"/>
      <c r="H41" s="668"/>
      <c r="I41" s="668"/>
      <c r="J41" s="668"/>
      <c r="K41" s="668"/>
      <c r="L41" s="668"/>
      <c r="M41" s="668"/>
      <c r="N41" s="668"/>
      <c r="O41" s="668"/>
      <c r="P41" s="668"/>
      <c r="Q41" s="668"/>
      <c r="R41" s="668"/>
      <c r="S41" s="668"/>
      <c r="T41" s="668"/>
      <c r="U41" s="668"/>
    </row>
    <row r="42" spans="1:21" s="400" customFormat="1" ht="14.1" customHeight="1" collapsed="1">
      <c r="A42" s="1002"/>
      <c r="B42" s="1002"/>
      <c r="C42" s="1002"/>
      <c r="D42" s="1002"/>
      <c r="E42" s="1002"/>
      <c r="F42" s="1002" t="s">
        <v>1365</v>
      </c>
      <c r="G42" s="1002"/>
      <c r="H42" s="1002"/>
      <c r="I42" s="1002"/>
      <c r="J42" s="1002"/>
      <c r="K42" s="1002"/>
      <c r="L42" s="1002"/>
      <c r="M42" s="1002"/>
      <c r="N42" s="1002"/>
      <c r="O42" s="1002"/>
      <c r="P42" s="1002"/>
      <c r="Q42" s="1002"/>
      <c r="R42" s="1002"/>
      <c r="S42" s="1002"/>
      <c r="T42" s="1002"/>
      <c r="U42" s="1002"/>
    </row>
    <row r="43" spans="1:21" s="400" customFormat="1" ht="14.1" customHeight="1">
      <c r="A43" s="1002"/>
      <c r="B43" s="1002"/>
      <c r="C43" s="1002"/>
      <c r="D43" s="1002"/>
      <c r="E43" s="1002"/>
      <c r="F43" s="1002" t="s">
        <v>1366</v>
      </c>
      <c r="G43" s="1002"/>
      <c r="H43" s="1002"/>
      <c r="I43" s="1002"/>
      <c r="J43" s="1002"/>
      <c r="K43" s="1002"/>
      <c r="L43" s="1002"/>
      <c r="M43" s="1002"/>
      <c r="N43" s="1002"/>
      <c r="O43" s="1002"/>
      <c r="P43" s="1002"/>
      <c r="Q43" s="1002"/>
      <c r="R43" s="1002"/>
      <c r="S43" s="1002"/>
      <c r="T43" s="1002"/>
      <c r="U43" s="1002"/>
    </row>
    <row r="44" spans="1:21" s="78" customFormat="1" ht="14.1" customHeight="1">
      <c r="A44" s="668"/>
      <c r="B44" s="668"/>
      <c r="C44" s="668"/>
      <c r="D44" s="668"/>
      <c r="E44" s="668"/>
      <c r="F44" s="1002"/>
      <c r="G44" s="668"/>
      <c r="H44" s="668"/>
      <c r="I44" s="668"/>
      <c r="J44" s="668"/>
      <c r="K44" s="668"/>
      <c r="L44" s="668"/>
      <c r="M44" s="668"/>
      <c r="N44" s="668"/>
      <c r="O44" s="668"/>
      <c r="P44" s="668"/>
      <c r="Q44" s="668"/>
      <c r="R44" s="668"/>
      <c r="S44" s="668"/>
      <c r="T44" s="668"/>
      <c r="U44" s="668"/>
    </row>
    <row r="45" spans="1:21" s="400" customFormat="1" ht="14.1" customHeight="1">
      <c r="A45" s="1002"/>
      <c r="B45" s="1002"/>
      <c r="C45" s="1002"/>
      <c r="D45" s="1002"/>
      <c r="E45" s="1002"/>
      <c r="F45" s="1002"/>
      <c r="G45" s="1002"/>
      <c r="H45" s="1002"/>
      <c r="I45" s="1002"/>
      <c r="J45" s="1002"/>
      <c r="K45" s="1002"/>
      <c r="L45" s="1002"/>
      <c r="M45" s="1002"/>
      <c r="N45" s="1002"/>
      <c r="O45" s="1002"/>
      <c r="P45" s="1002"/>
      <c r="Q45" s="1002"/>
      <c r="R45" s="1002"/>
      <c r="S45" s="1002"/>
      <c r="T45" s="1002"/>
      <c r="U45" s="1002"/>
    </row>
    <row r="46" spans="1:21" s="487" customFormat="1" ht="14.1" customHeight="1">
      <c r="A46" s="1002"/>
      <c r="B46" s="1002"/>
      <c r="C46" s="1002"/>
      <c r="D46" s="1002"/>
      <c r="E46" s="1002"/>
      <c r="F46" s="1002"/>
      <c r="G46" s="1002"/>
      <c r="H46" s="1002"/>
      <c r="I46" s="1002"/>
      <c r="J46" s="1002"/>
      <c r="K46" s="1002"/>
      <c r="L46" s="1002"/>
      <c r="M46" s="1002"/>
      <c r="N46" s="1002"/>
      <c r="O46" s="1002"/>
      <c r="P46" s="1002"/>
      <c r="Q46" s="1002"/>
      <c r="R46" s="1002"/>
      <c r="S46" s="1002"/>
      <c r="T46" s="1002"/>
      <c r="U46" s="1002"/>
    </row>
    <row r="47" spans="1:21" s="487" customFormat="1" ht="14.1" customHeight="1">
      <c r="A47" s="1002"/>
      <c r="B47" s="1002"/>
      <c r="C47" s="1002"/>
      <c r="D47" s="1002"/>
      <c r="E47" s="1002"/>
      <c r="F47" s="1002"/>
      <c r="G47" s="1002"/>
      <c r="H47" s="1002"/>
      <c r="I47" s="1002"/>
      <c r="J47" s="1002"/>
      <c r="K47" s="1002"/>
      <c r="L47" s="1002"/>
      <c r="M47" s="1002"/>
      <c r="N47" s="1002"/>
      <c r="O47" s="1002"/>
      <c r="P47" s="1002"/>
      <c r="Q47" s="1002"/>
      <c r="R47" s="1002"/>
      <c r="S47" s="1002"/>
      <c r="T47" s="1002"/>
      <c r="U47" s="1002"/>
    </row>
    <row r="48" spans="1:21" s="487" customFormat="1" ht="14.1" customHeight="1">
      <c r="A48" s="1002"/>
      <c r="B48" s="1002"/>
      <c r="C48" s="1002"/>
      <c r="D48" s="1002"/>
      <c r="E48" s="1002"/>
      <c r="F48" s="1002"/>
      <c r="G48" s="1002"/>
      <c r="H48" s="1002"/>
      <c r="I48" s="1002"/>
      <c r="J48" s="1002"/>
      <c r="K48" s="1002"/>
      <c r="L48" s="1002"/>
      <c r="M48" s="1002"/>
      <c r="N48" s="1002"/>
      <c r="O48" s="1002"/>
      <c r="P48" s="1002"/>
      <c r="Q48" s="1002"/>
      <c r="R48" s="1002"/>
      <c r="S48" s="1002"/>
      <c r="T48" s="1002"/>
      <c r="U48" s="1002"/>
    </row>
    <row r="49" spans="1:21" ht="14.1" customHeight="1">
      <c r="A49" s="668"/>
      <c r="B49" s="668"/>
      <c r="C49" s="668"/>
      <c r="D49" s="668"/>
      <c r="E49" s="668"/>
      <c r="F49" s="668"/>
      <c r="G49" s="668"/>
      <c r="H49" s="668"/>
      <c r="I49" s="668"/>
      <c r="J49" s="668"/>
      <c r="K49" s="668"/>
      <c r="L49" s="668"/>
      <c r="M49" s="668"/>
      <c r="N49" s="668"/>
      <c r="O49" s="668"/>
      <c r="P49" s="668"/>
      <c r="Q49" s="668"/>
      <c r="R49" s="668"/>
      <c r="S49" s="668"/>
      <c r="T49" s="668"/>
      <c r="U49" s="668"/>
    </row>
    <row r="50" spans="1:21" ht="14.1" customHeight="1">
      <c r="A50" s="668"/>
      <c r="B50" s="668"/>
      <c r="C50" s="668"/>
      <c r="D50" s="668"/>
      <c r="E50" s="668"/>
      <c r="F50" s="668"/>
      <c r="G50" s="668"/>
      <c r="H50" s="668"/>
      <c r="I50" s="668"/>
      <c r="J50" s="668"/>
      <c r="K50" s="668"/>
      <c r="L50" s="668"/>
      <c r="M50" s="668"/>
      <c r="N50" s="668"/>
      <c r="O50" s="668"/>
      <c r="P50" s="668"/>
      <c r="Q50" s="668"/>
      <c r="R50" s="668"/>
      <c r="S50" s="668"/>
      <c r="T50" s="668"/>
      <c r="U50" s="668"/>
    </row>
    <row r="51" spans="1:21" ht="14.1" customHeight="1">
      <c r="A51" s="668"/>
      <c r="B51" s="668"/>
      <c r="C51" s="668"/>
      <c r="D51" s="668"/>
      <c r="E51" s="668"/>
      <c r="F51" s="668"/>
      <c r="G51" s="668"/>
      <c r="H51" s="668"/>
      <c r="I51" s="668"/>
      <c r="J51" s="668"/>
      <c r="K51" s="668"/>
      <c r="L51" s="668"/>
      <c r="M51" s="668"/>
      <c r="N51" s="668"/>
      <c r="O51" s="668"/>
    </row>
    <row r="52" spans="1:21" ht="14.1" customHeight="1">
      <c r="A52" s="668"/>
      <c r="B52" s="668"/>
      <c r="C52" s="668"/>
      <c r="D52" s="668"/>
      <c r="E52" s="668"/>
      <c r="F52" s="668"/>
      <c r="G52" s="668"/>
      <c r="H52" s="668"/>
      <c r="I52" s="668"/>
      <c r="J52" s="668"/>
      <c r="K52" s="668"/>
      <c r="L52" s="668"/>
      <c r="M52" s="668"/>
      <c r="N52" s="668"/>
      <c r="O52" s="668"/>
    </row>
    <row r="53" spans="1:21" ht="14.1" hidden="1" customHeight="1">
      <c r="A53" s="668"/>
      <c r="B53" s="668"/>
      <c r="C53" s="668"/>
      <c r="D53" s="668"/>
      <c r="E53" s="668"/>
      <c r="F53" s="668"/>
      <c r="G53" s="668"/>
      <c r="H53" s="668"/>
      <c r="I53" s="668"/>
      <c r="J53" s="668"/>
      <c r="K53" s="668"/>
      <c r="L53" s="668"/>
      <c r="M53" s="668"/>
      <c r="N53" s="668"/>
      <c r="O53" s="668"/>
    </row>
    <row r="54" spans="1:21" ht="15" hidden="1" customHeight="1">
      <c r="A54" s="668"/>
      <c r="B54" s="668"/>
      <c r="C54" s="668"/>
      <c r="D54" s="668"/>
      <c r="E54" s="668"/>
      <c r="F54" s="668"/>
      <c r="G54" s="668"/>
      <c r="H54" s="668"/>
      <c r="I54" s="668"/>
      <c r="J54" s="668"/>
      <c r="K54" s="668"/>
      <c r="L54" s="668"/>
      <c r="M54" s="668"/>
      <c r="N54" s="668"/>
      <c r="O54" s="668"/>
    </row>
    <row r="55" spans="1:21" ht="12.95" hidden="1" customHeight="1">
      <c r="A55" s="581"/>
      <c r="B55" s="581"/>
      <c r="C55" s="583"/>
      <c r="D55" s="581"/>
      <c r="E55" s="581"/>
      <c r="F55" s="581" t="s">
        <v>1642</v>
      </c>
      <c r="G55" s="581"/>
      <c r="H55" s="581"/>
      <c r="I55" s="581"/>
      <c r="J55" s="581"/>
      <c r="K55" s="581"/>
      <c r="L55" s="581"/>
      <c r="M55" s="581"/>
      <c r="N55" s="581"/>
      <c r="O55" s="581"/>
    </row>
    <row r="56" spans="1:21" ht="8.25" hidden="1" customHeight="1">
      <c r="A56" s="581"/>
      <c r="B56" s="581"/>
      <c r="C56" s="583"/>
      <c r="D56" s="581"/>
      <c r="E56" s="581"/>
      <c r="F56" s="1958" t="s">
        <v>1356</v>
      </c>
      <c r="G56" s="1958"/>
      <c r="H56" s="581"/>
      <c r="I56" s="581"/>
      <c r="J56" s="581"/>
      <c r="K56" s="581"/>
      <c r="L56" s="581"/>
      <c r="M56" s="581"/>
      <c r="N56" s="581"/>
      <c r="O56" s="581"/>
    </row>
    <row r="57" spans="1:21" ht="16.5" hidden="1">
      <c r="F57" s="1958"/>
      <c r="G57" s="1960" t="s">
        <v>1357</v>
      </c>
    </row>
    <row r="58" spans="1:21" ht="15" hidden="1">
      <c r="F58" s="1960"/>
      <c r="G58" s="1976" t="s">
        <v>1358</v>
      </c>
    </row>
    <row r="59" spans="1:21" ht="16.5" hidden="1">
      <c r="F59" s="1958" t="s">
        <v>1362</v>
      </c>
      <c r="G59" s="1976"/>
    </row>
    <row r="60" spans="1:21" ht="16.5" hidden="1">
      <c r="F60" s="1958"/>
      <c r="G60" s="1961" t="s">
        <v>1181</v>
      </c>
    </row>
    <row r="61" spans="1:21" hidden="1"/>
    <row r="62" spans="1:21" hidden="1"/>
    <row r="63" spans="1:21" hidden="1"/>
    <row r="64" spans="1:21" hidden="1"/>
    <row r="65" hidden="1"/>
    <row r="66" hidden="1"/>
    <row r="67" hidden="1"/>
    <row r="68" hidden="1"/>
    <row r="69" hidden="1"/>
    <row r="70" hidden="1"/>
    <row r="71" hidden="1"/>
    <row r="72" hidden="1"/>
    <row r="73" hidden="1"/>
    <row r="74" hidden="1"/>
    <row r="75" hidden="1"/>
    <row r="76" hidden="1"/>
    <row r="77" hidden="1"/>
    <row r="83" ht="19.5" customHeight="1"/>
  </sheetData>
  <sheetProtection algorithmName="SHA-512" hashValue="m4x39vovoN7vWVdR4j4Zn08EgCixA0RZxUN/ly2Q147hcvuyY7D73M1FZlnAdG7fdWIxEH2Kw8UzZCbIrucPng==" saltValue="GIl4jrLtKAabOD3MzaMOdA==" spinCount="100000" sheet="1" objects="1" scenarios="1"/>
  <customSheetViews>
    <customSheetView guid="{06451E13-97D0-44F4-875B-E8D80B2F1CF1}" scale="115" showPageBreaks="1" printArea="1" view="pageBreakPreview">
      <selection activeCell="AA7" sqref="AA7:AB7"/>
      <pageMargins left="0" right="0" top="0" bottom="0" header="0" footer="0"/>
      <printOptions horizontalCentered="1" verticalCentered="1"/>
      <pageSetup paperSize="9" scale="70" orientation="landscape" r:id="rId1"/>
      <headerFooter scaleWithDoc="0" alignWithMargins="0">
        <oddFooter>&amp;C&amp;"Arial,標準"&amp;12 26</oddFooter>
      </headerFooter>
    </customSheetView>
  </customSheetViews>
  <phoneticPr fontId="29"/>
  <printOptions horizontalCentered="1" verticalCentered="1"/>
  <pageMargins left="0" right="0" top="0" bottom="0" header="0" footer="0"/>
  <pageSetup paperSize="9" scale="70" orientation="landscape" r:id="rId2"/>
  <headerFooter scaleWithDoc="0" alignWithMargins="0">
    <oddFooter>&amp;C&amp;"Arial,標準"&amp;12 26</odd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C10:P21"/>
  <sheetViews>
    <sheetView view="pageBreakPreview" zoomScale="115" zoomScaleNormal="85" zoomScaleSheetLayoutView="115" workbookViewId="0">
      <selection activeCell="Z33" sqref="Z33"/>
    </sheetView>
  </sheetViews>
  <sheetFormatPr defaultColWidth="9" defaultRowHeight="12"/>
  <cols>
    <col min="2" max="2" width="18.5703125" customWidth="1"/>
    <col min="3" max="3" width="1.85546875" customWidth="1"/>
    <col min="4" max="4" width="90.140625" customWidth="1"/>
    <col min="5" max="5" width="1.85546875" customWidth="1"/>
  </cols>
  <sheetData>
    <row r="10" spans="3:16" ht="6.95" customHeight="1">
      <c r="C10" s="616"/>
      <c r="D10" s="617"/>
      <c r="E10" s="618"/>
    </row>
    <row r="11" spans="3:16" ht="16.5">
      <c r="C11" s="619"/>
      <c r="D11" s="591" t="s">
        <v>250</v>
      </c>
      <c r="E11" s="620"/>
    </row>
    <row r="12" spans="3:16" ht="6.95" customHeight="1">
      <c r="C12" s="619"/>
      <c r="D12" s="589"/>
      <c r="E12" s="620"/>
    </row>
    <row r="13" spans="3:16" ht="76.5" customHeight="1">
      <c r="C13" s="619"/>
      <c r="D13" s="590" t="s">
        <v>252</v>
      </c>
      <c r="E13" s="620"/>
    </row>
    <row r="14" spans="3:16" ht="6.95" customHeight="1">
      <c r="C14" s="621"/>
      <c r="D14" s="622"/>
      <c r="E14" s="623"/>
    </row>
    <row r="15" spans="3:16" ht="16.5">
      <c r="C15" s="624"/>
      <c r="D15" s="624"/>
      <c r="E15" s="624"/>
    </row>
    <row r="16" spans="3:16" ht="16.5">
      <c r="C16" s="624"/>
      <c r="D16" s="624"/>
      <c r="E16" s="624"/>
      <c r="P16" s="2055"/>
    </row>
    <row r="17" spans="3:5" ht="6.95" customHeight="1">
      <c r="C17" s="616"/>
      <c r="D17" s="617"/>
      <c r="E17" s="618"/>
    </row>
    <row r="18" spans="3:5" ht="16.5">
      <c r="C18" s="619"/>
      <c r="D18" s="1535" t="s">
        <v>217</v>
      </c>
      <c r="E18" s="620"/>
    </row>
    <row r="19" spans="3:5" ht="6.95" customHeight="1">
      <c r="C19" s="619"/>
      <c r="D19" s="1536"/>
      <c r="E19" s="620"/>
    </row>
    <row r="20" spans="3:5" ht="89.25" customHeight="1">
      <c r="C20" s="619"/>
      <c r="D20" s="1537" t="s">
        <v>1386</v>
      </c>
      <c r="E20" s="620"/>
    </row>
    <row r="21" spans="3:5" ht="6.95" customHeight="1">
      <c r="C21" s="621"/>
      <c r="D21" s="622"/>
      <c r="E21" s="623"/>
    </row>
  </sheetData>
  <sheetProtection algorithmName="SHA-512" hashValue="K6g6owQ8vt1lvNgnS2nW4SNnVuqWMoBY2eIpe9WvDK6n3RRd8SEkuMy72lvpTB6/0INriFxOvnbvW5OriQtLqA==" saltValue="Ymg13DGPdkmbVfPeMIFN4A==" spinCount="100000" sheet="1" objects="1" scenarios="1"/>
  <customSheetViews>
    <customSheetView guid="{06451E13-97D0-44F4-875B-E8D80B2F1CF1}" showPageBreaks="1" printArea="1" view="pageBreakPreview">
      <selection activeCell="AA7" sqref="AA7:AB7"/>
      <pageMargins left="0" right="0" top="0" bottom="0" header="0" footer="0"/>
      <printOptions horizontalCentered="1" verticalCentered="1"/>
      <pageSetup paperSize="9" orientation="landscape" r:id="rId1"/>
      <headerFooter alignWithMargins="0"/>
    </customSheetView>
  </customSheetViews>
  <phoneticPr fontId="29"/>
  <printOptions horizontalCentered="1" verticalCentered="1"/>
  <pageMargins left="0" right="0" top="0" bottom="0" header="0" footer="0"/>
  <pageSetup paperSize="9" orientation="landscape" r:id="rId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K63"/>
  <sheetViews>
    <sheetView view="pageBreakPreview" zoomScale="70" zoomScaleNormal="100" zoomScaleSheetLayoutView="70" workbookViewId="0">
      <selection activeCell="T1" sqref="T1:AQ1048576"/>
    </sheetView>
  </sheetViews>
  <sheetFormatPr defaultColWidth="9.140625" defaultRowHeight="15" customHeight="1" outlineLevelCol="1"/>
  <cols>
    <col min="1" max="1" width="12.140625" style="83" customWidth="1"/>
    <col min="2" max="2" width="1.5703125" style="83" customWidth="1"/>
    <col min="3" max="3" width="23.140625" style="84" customWidth="1"/>
    <col min="4" max="4" width="1.5703125" style="83" customWidth="1"/>
    <col min="5" max="5" width="35.28515625" style="84" customWidth="1"/>
    <col min="6" max="7" width="9.140625" style="84" customWidth="1"/>
    <col min="8" max="18" width="9.140625" style="83" customWidth="1"/>
    <col min="19" max="19" width="11.140625" style="83" customWidth="1"/>
    <col min="20" max="20" width="11.140625" style="83" hidden="1" customWidth="1"/>
    <col min="21" max="21" width="2.140625" style="83" hidden="1" customWidth="1"/>
    <col min="22" max="22" width="15.5703125" style="83" hidden="1" customWidth="1"/>
    <col min="23" max="31" width="17.85546875" style="83" hidden="1" customWidth="1" outlineLevel="1"/>
    <col min="32" max="33" width="17.85546875" style="83" hidden="1" customWidth="1"/>
    <col min="34" max="34" width="10.140625" style="83" hidden="1" customWidth="1"/>
    <col min="35" max="35" width="13.140625" style="83" hidden="1" customWidth="1"/>
    <col min="36" max="36" width="2.85546875" style="83" hidden="1" customWidth="1"/>
    <col min="37" max="37" width="28.5703125" style="83" hidden="1" customWidth="1"/>
    <col min="38" max="43" width="0" style="83" hidden="1" customWidth="1"/>
    <col min="44" max="16384" width="9.140625" style="83"/>
  </cols>
  <sheetData>
    <row r="1" spans="1:37" ht="63" customHeight="1">
      <c r="A1" s="494"/>
      <c r="B1" s="494"/>
      <c r="C1" s="599"/>
      <c r="D1" s="494"/>
      <c r="E1" s="596"/>
      <c r="F1" s="596"/>
      <c r="G1" s="596"/>
      <c r="H1" s="494"/>
      <c r="I1" s="494"/>
      <c r="J1" s="494"/>
      <c r="K1" s="494"/>
      <c r="L1" s="494"/>
      <c r="M1" s="494"/>
      <c r="N1" s="494"/>
      <c r="O1" s="494"/>
      <c r="P1" s="494"/>
      <c r="Q1" s="494"/>
      <c r="R1" s="494"/>
      <c r="S1" s="494"/>
    </row>
    <row r="2" spans="1:37" ht="20.100000000000001" customHeight="1">
      <c r="A2" s="597"/>
      <c r="B2" s="598"/>
      <c r="C2" s="596"/>
      <c r="D2" s="598"/>
      <c r="E2" s="596"/>
      <c r="F2" s="596"/>
      <c r="G2" s="596"/>
      <c r="H2" s="494"/>
      <c r="I2" s="494"/>
      <c r="J2" s="494"/>
      <c r="K2" s="494"/>
      <c r="L2" s="494"/>
      <c r="M2" s="494"/>
      <c r="N2" s="494"/>
      <c r="O2" s="494"/>
      <c r="P2" s="494"/>
      <c r="Q2" s="494"/>
      <c r="R2" s="494"/>
      <c r="S2" s="494"/>
    </row>
    <row r="3" spans="1:37" ht="12.75" customHeight="1">
      <c r="A3" s="494"/>
      <c r="B3" s="494"/>
      <c r="C3" s="494"/>
      <c r="D3" s="494"/>
      <c r="E3" s="494"/>
      <c r="F3" s="494"/>
      <c r="G3" s="494"/>
      <c r="H3" s="494"/>
      <c r="I3" s="494"/>
      <c r="J3" s="494"/>
      <c r="K3" s="494"/>
      <c r="L3" s="494"/>
      <c r="M3" s="494"/>
      <c r="N3" s="494"/>
      <c r="O3" s="494"/>
      <c r="P3" s="494"/>
      <c r="Q3" s="494"/>
      <c r="R3" s="494"/>
      <c r="S3" s="494"/>
    </row>
    <row r="4" spans="1:37" ht="15" customHeight="1" thickBot="1">
      <c r="A4" s="494"/>
      <c r="B4" s="494"/>
      <c r="C4" s="599"/>
      <c r="D4" s="494"/>
      <c r="E4" s="599"/>
      <c r="F4" s="599"/>
      <c r="G4" s="599"/>
      <c r="H4" s="494"/>
      <c r="I4" s="494"/>
      <c r="J4" s="494"/>
      <c r="K4" s="494"/>
      <c r="L4" s="494"/>
      <c r="M4" s="494"/>
      <c r="N4" s="494"/>
      <c r="O4" s="494"/>
      <c r="P4" s="494"/>
      <c r="Q4" s="582"/>
      <c r="R4" s="1809" t="s">
        <v>1672</v>
      </c>
      <c r="S4" s="494"/>
    </row>
    <row r="5" spans="1:37" ht="24" customHeight="1">
      <c r="A5" s="494"/>
      <c r="B5" s="2208"/>
      <c r="C5" s="2208"/>
      <c r="D5" s="2208"/>
      <c r="E5" s="2210"/>
      <c r="F5" s="2212" t="str">
        <f>W5</f>
        <v>2016.3</v>
      </c>
      <c r="G5" s="2206" t="str">
        <f t="shared" ref="G5:P5" si="0">X5</f>
        <v>2017.3</v>
      </c>
      <c r="H5" s="2206" t="str">
        <f t="shared" si="0"/>
        <v>2018.3</v>
      </c>
      <c r="I5" s="2206" t="str">
        <f t="shared" si="0"/>
        <v>2019.3</v>
      </c>
      <c r="J5" s="2206" t="str">
        <f t="shared" si="0"/>
        <v>2020.3</v>
      </c>
      <c r="K5" s="2206" t="str">
        <f t="shared" si="0"/>
        <v>2021.3</v>
      </c>
      <c r="L5" s="2206" t="str">
        <f t="shared" si="0"/>
        <v>2022.3</v>
      </c>
      <c r="M5" s="2206" t="str">
        <f t="shared" si="0"/>
        <v>2023.3</v>
      </c>
      <c r="N5" s="2206" t="str">
        <f t="shared" si="0"/>
        <v>2024.3</v>
      </c>
      <c r="O5" s="2206" t="str">
        <f t="shared" si="0"/>
        <v>2025.3</v>
      </c>
      <c r="P5" s="2200" t="str">
        <f t="shared" si="0"/>
        <v>2026.3</v>
      </c>
      <c r="Q5" s="593" t="s">
        <v>155</v>
      </c>
      <c r="R5" s="594" t="s">
        <v>510</v>
      </c>
      <c r="S5" s="600"/>
      <c r="T5" s="86"/>
      <c r="U5" s="2202" t="s">
        <v>467</v>
      </c>
      <c r="V5" s="2203"/>
      <c r="W5" s="2196" t="s">
        <v>260</v>
      </c>
      <c r="X5" s="2196" t="s">
        <v>261</v>
      </c>
      <c r="Y5" s="2196" t="s">
        <v>377</v>
      </c>
      <c r="Z5" s="2196" t="s">
        <v>396</v>
      </c>
      <c r="AA5" s="2196" t="s">
        <v>422</v>
      </c>
      <c r="AB5" s="2196" t="s">
        <v>447</v>
      </c>
      <c r="AC5" s="2196" t="s">
        <v>1089</v>
      </c>
      <c r="AD5" s="2196" t="s">
        <v>1430</v>
      </c>
      <c r="AE5" s="2196" t="s">
        <v>1506</v>
      </c>
      <c r="AF5" s="2198" t="s">
        <v>1626</v>
      </c>
      <c r="AG5" s="2189" t="s">
        <v>1628</v>
      </c>
      <c r="AH5" s="87" t="s">
        <v>155</v>
      </c>
      <c r="AI5" s="88" t="s">
        <v>83</v>
      </c>
    </row>
    <row r="6" spans="1:37" ht="18.75" customHeight="1" thickBot="1">
      <c r="A6" s="494"/>
      <c r="B6" s="2209"/>
      <c r="C6" s="2209"/>
      <c r="D6" s="2211"/>
      <c r="E6" s="2211"/>
      <c r="F6" s="2213"/>
      <c r="G6" s="2207"/>
      <c r="H6" s="2207"/>
      <c r="I6" s="2207"/>
      <c r="J6" s="2207"/>
      <c r="K6" s="2207"/>
      <c r="L6" s="2207"/>
      <c r="M6" s="2207"/>
      <c r="N6" s="2207"/>
      <c r="O6" s="2207"/>
      <c r="P6" s="2201"/>
      <c r="Q6" s="646" t="s">
        <v>511</v>
      </c>
      <c r="R6" s="647" t="s">
        <v>509</v>
      </c>
      <c r="S6" s="494"/>
      <c r="T6" s="89"/>
      <c r="U6" s="2204"/>
      <c r="V6" s="2205"/>
      <c r="W6" s="2197"/>
      <c r="X6" s="2197"/>
      <c r="Y6" s="2197"/>
      <c r="Z6" s="2197"/>
      <c r="AA6" s="2197"/>
      <c r="AB6" s="2197"/>
      <c r="AC6" s="2197"/>
      <c r="AD6" s="2197"/>
      <c r="AE6" s="2197"/>
      <c r="AF6" s="2199"/>
      <c r="AG6" s="2190"/>
      <c r="AH6" s="90" t="s">
        <v>326</v>
      </c>
      <c r="AI6" s="91" t="s">
        <v>468</v>
      </c>
      <c r="AK6" s="83" t="s">
        <v>469</v>
      </c>
    </row>
    <row r="7" spans="1:37" ht="15.75" thickTop="1">
      <c r="A7" s="494"/>
      <c r="B7" s="2186" t="s">
        <v>518</v>
      </c>
      <c r="C7" s="2186"/>
      <c r="D7" s="2186"/>
      <c r="E7" s="2186"/>
      <c r="F7" s="491"/>
      <c r="G7" s="491"/>
      <c r="H7" s="491"/>
      <c r="I7" s="491"/>
      <c r="J7" s="491"/>
      <c r="K7" s="491"/>
      <c r="L7" s="491"/>
      <c r="M7" s="491"/>
      <c r="N7" s="491"/>
      <c r="O7" s="491"/>
      <c r="P7" s="491"/>
      <c r="Q7" s="492"/>
      <c r="R7" s="492"/>
      <c r="S7" s="494"/>
      <c r="U7" s="92" t="s">
        <v>470</v>
      </c>
      <c r="V7" s="93"/>
      <c r="W7" s="94"/>
      <c r="X7" s="94"/>
      <c r="Y7" s="94"/>
      <c r="Z7" s="94"/>
      <c r="AA7" s="94"/>
      <c r="AB7" s="94"/>
      <c r="AC7" s="94"/>
      <c r="AD7" s="94"/>
      <c r="AE7" s="94"/>
      <c r="AF7" s="95"/>
      <c r="AG7" s="96"/>
      <c r="AH7" s="97"/>
      <c r="AI7" s="97"/>
      <c r="AJ7" s="98"/>
    </row>
    <row r="8" spans="1:37">
      <c r="A8" s="494"/>
      <c r="B8" s="493"/>
      <c r="C8" s="2191" t="s">
        <v>1193</v>
      </c>
      <c r="D8" s="2191"/>
      <c r="E8" s="2191"/>
      <c r="F8" s="625">
        <f t="shared" ref="F8:P11" si="1">ROUNDDOWN(W8,-6)/1000000</f>
        <v>68607</v>
      </c>
      <c r="G8" s="625">
        <f t="shared" si="1"/>
        <v>67179</v>
      </c>
      <c r="H8" s="625">
        <f t="shared" si="1"/>
        <v>75153</v>
      </c>
      <c r="I8" s="625">
        <f t="shared" si="1"/>
        <v>79908</v>
      </c>
      <c r="J8" s="625">
        <f t="shared" si="1"/>
        <v>78143</v>
      </c>
      <c r="K8" s="625">
        <f t="shared" si="1"/>
        <v>74874</v>
      </c>
      <c r="L8" s="625">
        <f t="shared" si="1"/>
        <v>81482</v>
      </c>
      <c r="M8" s="625">
        <f t="shared" si="1"/>
        <v>88778</v>
      </c>
      <c r="N8" s="625">
        <f t="shared" si="1"/>
        <v>97606</v>
      </c>
      <c r="O8" s="625">
        <f t="shared" si="1"/>
        <v>104021</v>
      </c>
      <c r="P8" s="625">
        <f t="shared" si="1"/>
        <v>113854</v>
      </c>
      <c r="Q8" s="626">
        <f t="shared" ref="Q8:R12" si="2">AH8</f>
        <v>9.4522474640321938</v>
      </c>
      <c r="R8" s="626">
        <f t="shared" si="2"/>
        <v>5.1956422394338286</v>
      </c>
      <c r="S8" s="601"/>
      <c r="T8" s="99"/>
      <c r="U8" s="100"/>
      <c r="V8" s="101" t="s">
        <v>143</v>
      </c>
      <c r="W8" s="102">
        <v>68607412214</v>
      </c>
      <c r="X8" s="102">
        <v>67179638767</v>
      </c>
      <c r="Y8" s="102">
        <v>75153795456</v>
      </c>
      <c r="Z8" s="102">
        <v>79908597806</v>
      </c>
      <c r="AA8" s="102">
        <v>78143165254</v>
      </c>
      <c r="AB8" s="102">
        <v>74874851916</v>
      </c>
      <c r="AC8" s="102">
        <v>81482517034</v>
      </c>
      <c r="AD8" s="102">
        <v>88778392668</v>
      </c>
      <c r="AE8" s="102">
        <v>97606207402</v>
      </c>
      <c r="AF8" s="103">
        <v>104021676521</v>
      </c>
      <c r="AG8" s="104">
        <v>113854062802</v>
      </c>
      <c r="AH8" s="105">
        <f>(AG8/AF8-1)*100</f>
        <v>9.4522474640321938</v>
      </c>
      <c r="AI8" s="105">
        <f>((AG8/W8)^(1/10)-1)*100</f>
        <v>5.1956422394338286</v>
      </c>
      <c r="AJ8" s="98"/>
      <c r="AK8" s="83">
        <f>((((W8*AI8)*AI8)*AI8)*AI8)*AI8</f>
        <v>259756983868916.69</v>
      </c>
    </row>
    <row r="9" spans="1:37">
      <c r="A9" s="494"/>
      <c r="B9" s="494"/>
      <c r="C9" s="2192" t="s">
        <v>1194</v>
      </c>
      <c r="D9" s="2193"/>
      <c r="E9" s="2193"/>
      <c r="F9" s="627">
        <f t="shared" si="1"/>
        <v>34491</v>
      </c>
      <c r="G9" s="627">
        <f t="shared" si="1"/>
        <v>32396</v>
      </c>
      <c r="H9" s="627">
        <f t="shared" si="1"/>
        <v>36071</v>
      </c>
      <c r="I9" s="627">
        <f t="shared" si="1"/>
        <v>37123</v>
      </c>
      <c r="J9" s="627">
        <f t="shared" si="1"/>
        <v>36009</v>
      </c>
      <c r="K9" s="627">
        <f t="shared" si="1"/>
        <v>36227</v>
      </c>
      <c r="L9" s="627">
        <f t="shared" si="1"/>
        <v>41574</v>
      </c>
      <c r="M9" s="627">
        <f t="shared" si="1"/>
        <v>43778</v>
      </c>
      <c r="N9" s="627">
        <f t="shared" si="1"/>
        <v>48937</v>
      </c>
      <c r="O9" s="627">
        <f t="shared" si="1"/>
        <v>54206</v>
      </c>
      <c r="P9" s="627">
        <f t="shared" si="1"/>
        <v>59847</v>
      </c>
      <c r="Q9" s="628">
        <f t="shared" si="2"/>
        <v>10.406847071218994</v>
      </c>
      <c r="R9" s="628">
        <f t="shared" si="2"/>
        <v>5.6655643894753194</v>
      </c>
      <c r="S9" s="601"/>
      <c r="T9" s="99"/>
      <c r="U9" s="100"/>
      <c r="V9" s="101" t="s">
        <v>144</v>
      </c>
      <c r="W9" s="102">
        <v>34491567063</v>
      </c>
      <c r="X9" s="102">
        <v>32396977642</v>
      </c>
      <c r="Y9" s="102">
        <v>36071469196</v>
      </c>
      <c r="Z9" s="102">
        <v>37123422424</v>
      </c>
      <c r="AA9" s="102">
        <v>36009064791</v>
      </c>
      <c r="AB9" s="102">
        <v>36227019265</v>
      </c>
      <c r="AC9" s="102">
        <v>41574491701</v>
      </c>
      <c r="AD9" s="102">
        <v>43778105000</v>
      </c>
      <c r="AE9" s="102">
        <v>48937718092</v>
      </c>
      <c r="AF9" s="103">
        <v>54206540246</v>
      </c>
      <c r="AG9" s="104">
        <v>59847731992</v>
      </c>
      <c r="AH9" s="106">
        <f>(AG9/AF9-1)*100</f>
        <v>10.406847071218994</v>
      </c>
      <c r="AI9" s="106">
        <f>((AG9/W9)^(1/10)-1)*100</f>
        <v>5.6655643894753194</v>
      </c>
      <c r="AJ9" s="98"/>
    </row>
    <row r="10" spans="1:37">
      <c r="A10" s="494"/>
      <c r="B10" s="493"/>
      <c r="C10" s="2194" t="s">
        <v>1195</v>
      </c>
      <c r="D10" s="2195"/>
      <c r="E10" s="2195"/>
      <c r="F10" s="625">
        <f t="shared" si="1"/>
        <v>35218</v>
      </c>
      <c r="G10" s="625">
        <f t="shared" si="1"/>
        <v>32999</v>
      </c>
      <c r="H10" s="625">
        <f t="shared" si="1"/>
        <v>36676</v>
      </c>
      <c r="I10" s="625">
        <f t="shared" si="1"/>
        <v>38039</v>
      </c>
      <c r="J10" s="625">
        <f t="shared" si="1"/>
        <v>36710</v>
      </c>
      <c r="K10" s="625">
        <f t="shared" si="1"/>
        <v>36996</v>
      </c>
      <c r="L10" s="625">
        <f t="shared" si="1"/>
        <v>42374</v>
      </c>
      <c r="M10" s="625">
        <f t="shared" si="1"/>
        <v>44491</v>
      </c>
      <c r="N10" s="625">
        <f t="shared" si="1"/>
        <v>49654</v>
      </c>
      <c r="O10" s="625">
        <f t="shared" si="1"/>
        <v>54883</v>
      </c>
      <c r="P10" s="625">
        <f t="shared" si="1"/>
        <v>60590</v>
      </c>
      <c r="Q10" s="629">
        <f t="shared" si="2"/>
        <v>10.397599924334466</v>
      </c>
      <c r="R10" s="629">
        <f t="shared" si="2"/>
        <v>5.5754683260195614</v>
      </c>
      <c r="S10" s="601"/>
      <c r="T10" s="99"/>
      <c r="U10" s="100"/>
      <c r="V10" s="101" t="s">
        <v>471</v>
      </c>
      <c r="W10" s="102">
        <v>35218743084</v>
      </c>
      <c r="X10" s="102">
        <v>32999876543</v>
      </c>
      <c r="Y10" s="102">
        <v>36676189521</v>
      </c>
      <c r="Z10" s="102">
        <v>38039357398</v>
      </c>
      <c r="AA10" s="102">
        <v>36710323063</v>
      </c>
      <c r="AB10" s="102">
        <v>36996015525</v>
      </c>
      <c r="AC10" s="102">
        <v>42374184874</v>
      </c>
      <c r="AD10" s="102">
        <v>44491472921</v>
      </c>
      <c r="AE10" s="102">
        <v>49654787230</v>
      </c>
      <c r="AF10" s="103">
        <v>54883826994</v>
      </c>
      <c r="AG10" s="104">
        <v>60590427748</v>
      </c>
      <c r="AH10" s="106">
        <f>(AG10/AF10-1)*100</f>
        <v>10.397599924334466</v>
      </c>
      <c r="AI10" s="106">
        <f>((AG10/W10)^(1/10)-1)*100</f>
        <v>5.5754683260195614</v>
      </c>
      <c r="AJ10" s="98"/>
    </row>
    <row r="11" spans="1:37">
      <c r="A11" s="494"/>
      <c r="B11" s="494"/>
      <c r="C11" s="2192" t="s">
        <v>1196</v>
      </c>
      <c r="D11" s="2193"/>
      <c r="E11" s="2193"/>
      <c r="F11" s="627">
        <f t="shared" si="1"/>
        <v>22477</v>
      </c>
      <c r="G11" s="630">
        <f t="shared" si="1"/>
        <v>22909</v>
      </c>
      <c r="H11" s="630">
        <f t="shared" si="1"/>
        <v>24285</v>
      </c>
      <c r="I11" s="630">
        <f t="shared" si="1"/>
        <v>25543</v>
      </c>
      <c r="J11" s="630">
        <f t="shared" si="1"/>
        <v>20634</v>
      </c>
      <c r="K11" s="630">
        <f t="shared" si="1"/>
        <v>4022</v>
      </c>
      <c r="L11" s="630">
        <f t="shared" si="1"/>
        <v>29745</v>
      </c>
      <c r="M11" s="630">
        <f t="shared" si="1"/>
        <v>30008</v>
      </c>
      <c r="N11" s="630">
        <f t="shared" si="1"/>
        <v>32906</v>
      </c>
      <c r="O11" s="630">
        <f t="shared" si="1"/>
        <v>37636</v>
      </c>
      <c r="P11" s="630">
        <f t="shared" si="1"/>
        <v>41360</v>
      </c>
      <c r="Q11" s="628">
        <f t="shared" si="2"/>
        <v>9.8956284215259149</v>
      </c>
      <c r="R11" s="628">
        <f t="shared" si="2"/>
        <v>6.2880069806386718</v>
      </c>
      <c r="S11" s="601"/>
      <c r="T11" s="99"/>
      <c r="U11" s="100"/>
      <c r="V11" s="101" t="s">
        <v>472</v>
      </c>
      <c r="W11" s="102">
        <v>22477438692</v>
      </c>
      <c r="X11" s="102">
        <v>22909817600</v>
      </c>
      <c r="Y11" s="102">
        <v>24285932699</v>
      </c>
      <c r="Z11" s="102">
        <v>25543539402</v>
      </c>
      <c r="AA11" s="102">
        <v>20634431056</v>
      </c>
      <c r="AB11" s="102">
        <v>4022576887</v>
      </c>
      <c r="AC11" s="102">
        <v>29745596639</v>
      </c>
      <c r="AD11" s="102">
        <v>30008988249</v>
      </c>
      <c r="AE11" s="102">
        <v>32906489239</v>
      </c>
      <c r="AF11" s="103">
        <v>37636483681</v>
      </c>
      <c r="AG11" s="104">
        <v>41360850257</v>
      </c>
      <c r="AH11" s="106">
        <f>(AG11/AF11-1)*100</f>
        <v>9.8956284215259149</v>
      </c>
      <c r="AI11" s="106">
        <f>((AG11/W11)^(1/10)-1)*100</f>
        <v>6.2880069806386718</v>
      </c>
      <c r="AJ11" s="98"/>
    </row>
    <row r="12" spans="1:37">
      <c r="A12" s="494"/>
      <c r="B12" s="493"/>
      <c r="C12" s="2184" t="s">
        <v>1197</v>
      </c>
      <c r="D12" s="2185"/>
      <c r="E12" s="2185"/>
      <c r="F12" s="631">
        <f t="shared" ref="F12:N12" si="3">IF(W12="","-",ROUNDDOWN(W12,-6)/1000000)</f>
        <v>22473</v>
      </c>
      <c r="G12" s="631">
        <f t="shared" si="3"/>
        <v>22895</v>
      </c>
      <c r="H12" s="631">
        <f t="shared" si="3"/>
        <v>25132</v>
      </c>
      <c r="I12" s="631">
        <f t="shared" si="3"/>
        <v>25848</v>
      </c>
      <c r="J12" s="631">
        <f t="shared" si="3"/>
        <v>20764</v>
      </c>
      <c r="K12" s="631">
        <f t="shared" si="3"/>
        <v>4628</v>
      </c>
      <c r="L12" s="631">
        <f t="shared" si="3"/>
        <v>31187</v>
      </c>
      <c r="M12" s="631">
        <f t="shared" si="3"/>
        <v>30458</v>
      </c>
      <c r="N12" s="631">
        <f t="shared" si="3"/>
        <v>33262</v>
      </c>
      <c r="O12" s="632">
        <f>ROUNDDOWN(AF12,-6)/1000000</f>
        <v>37845</v>
      </c>
      <c r="P12" s="632">
        <f>ROUNDDOWN(AG12,-6)/1000000</f>
        <v>41934</v>
      </c>
      <c r="Q12" s="633">
        <f t="shared" si="2"/>
        <v>10.804534895573092</v>
      </c>
      <c r="R12" s="634">
        <f t="shared" si="2"/>
        <v>6.4364617023072945</v>
      </c>
      <c r="S12" s="601"/>
      <c r="T12" s="99"/>
      <c r="U12" s="107"/>
      <c r="V12" s="108" t="s">
        <v>473</v>
      </c>
      <c r="W12" s="109">
        <v>22473347083</v>
      </c>
      <c r="X12" s="109">
        <v>22895472104</v>
      </c>
      <c r="Y12" s="109">
        <v>25132035086</v>
      </c>
      <c r="Z12" s="109">
        <v>25848605248</v>
      </c>
      <c r="AA12" s="109">
        <v>20764263577</v>
      </c>
      <c r="AB12" s="109">
        <v>4628466684</v>
      </c>
      <c r="AC12" s="109">
        <v>31187052384</v>
      </c>
      <c r="AD12" s="109">
        <v>30458187664</v>
      </c>
      <c r="AE12" s="109">
        <v>33262236293</v>
      </c>
      <c r="AF12" s="110">
        <v>37845523019</v>
      </c>
      <c r="AG12" s="111">
        <v>41934555760</v>
      </c>
      <c r="AH12" s="112">
        <f>(AG12/AF12-1)*100</f>
        <v>10.804534895573092</v>
      </c>
      <c r="AI12" s="113">
        <f>IF(W12="","-",((AG12/W12)^(1/10)-1)*100)</f>
        <v>6.4364617023072945</v>
      </c>
      <c r="AJ12" s="114"/>
    </row>
    <row r="13" spans="1:37" ht="15.75" customHeight="1">
      <c r="A13" s="494"/>
      <c r="B13" s="2186" t="s">
        <v>519</v>
      </c>
      <c r="C13" s="2186"/>
      <c r="D13" s="2186"/>
      <c r="E13" s="2186"/>
      <c r="F13" s="635"/>
      <c r="G13" s="635"/>
      <c r="H13" s="635"/>
      <c r="I13" s="635"/>
      <c r="J13" s="635"/>
      <c r="K13" s="635"/>
      <c r="L13" s="635"/>
      <c r="M13" s="635"/>
      <c r="N13" s="635"/>
      <c r="O13" s="635"/>
      <c r="P13" s="635"/>
      <c r="Q13" s="636"/>
      <c r="R13" s="636"/>
      <c r="S13" s="601"/>
      <c r="T13" s="99"/>
      <c r="U13" s="115" t="s">
        <v>474</v>
      </c>
      <c r="V13" s="108"/>
      <c r="W13" s="109"/>
      <c r="X13" s="109"/>
      <c r="Y13" s="109"/>
      <c r="Z13" s="109"/>
      <c r="AA13" s="109"/>
      <c r="AB13" s="109"/>
      <c r="AC13" s="109"/>
      <c r="AD13" s="109"/>
      <c r="AE13" s="109"/>
      <c r="AF13" s="110"/>
      <c r="AG13" s="111"/>
      <c r="AH13" s="112"/>
      <c r="AI13" s="112"/>
      <c r="AJ13" s="98"/>
    </row>
    <row r="14" spans="1:37">
      <c r="A14" s="494"/>
      <c r="B14" s="493"/>
      <c r="C14" s="1793" t="s">
        <v>1198</v>
      </c>
      <c r="D14" s="496"/>
      <c r="E14" s="497"/>
      <c r="F14" s="625">
        <f t="shared" ref="F14:P19" si="4">ROUNDDOWN(W14,-6)/1000000</f>
        <v>186831</v>
      </c>
      <c r="G14" s="625">
        <f t="shared" si="4"/>
        <v>197374</v>
      </c>
      <c r="H14" s="625">
        <f t="shared" si="4"/>
        <v>222292</v>
      </c>
      <c r="I14" s="625">
        <f t="shared" si="4"/>
        <v>232703</v>
      </c>
      <c r="J14" s="625">
        <f t="shared" si="4"/>
        <v>219133</v>
      </c>
      <c r="K14" s="625">
        <f t="shared" si="4"/>
        <v>210699</v>
      </c>
      <c r="L14" s="625">
        <f t="shared" si="4"/>
        <v>229354</v>
      </c>
      <c r="M14" s="625">
        <f t="shared" si="4"/>
        <v>242352</v>
      </c>
      <c r="N14" s="625">
        <f t="shared" si="4"/>
        <v>271557</v>
      </c>
      <c r="O14" s="625">
        <f t="shared" si="4"/>
        <v>267348</v>
      </c>
      <c r="P14" s="625">
        <f t="shared" si="4"/>
        <v>270130</v>
      </c>
      <c r="Q14" s="629">
        <f t="shared" ref="Q14:R19" si="5">AH14</f>
        <v>1.0408200289036884</v>
      </c>
      <c r="R14" s="629">
        <f t="shared" si="5"/>
        <v>3.7557724083346677</v>
      </c>
      <c r="S14" s="601"/>
      <c r="T14" s="99"/>
      <c r="U14" s="100"/>
      <c r="V14" s="101" t="s">
        <v>475</v>
      </c>
      <c r="W14" s="102">
        <v>186831979383</v>
      </c>
      <c r="X14" s="102">
        <v>197374321528</v>
      </c>
      <c r="Y14" s="102">
        <v>222292130074</v>
      </c>
      <c r="Z14" s="102">
        <v>232703279558</v>
      </c>
      <c r="AA14" s="102">
        <v>219133950053</v>
      </c>
      <c r="AB14" s="102">
        <v>210699916361</v>
      </c>
      <c r="AC14" s="102">
        <v>229354111687</v>
      </c>
      <c r="AD14" s="102">
        <v>242352627154</v>
      </c>
      <c r="AE14" s="102">
        <v>271557090458</v>
      </c>
      <c r="AF14" s="103">
        <v>267348056410</v>
      </c>
      <c r="AG14" s="104">
        <v>270130668528</v>
      </c>
      <c r="AH14" s="106">
        <f t="shared" ref="AH14:AH19" si="6">(AG14/AF14-1)*100</f>
        <v>1.0408200289036884</v>
      </c>
      <c r="AI14" s="106">
        <f t="shared" ref="AI14:AI19" si="7">((AG14/W14)^(1/10)-1)*100</f>
        <v>3.7557724083346677</v>
      </c>
      <c r="AJ14" s="98"/>
    </row>
    <row r="15" spans="1:37">
      <c r="A15" s="494"/>
      <c r="B15" s="494"/>
      <c r="C15" s="1794" t="s">
        <v>1199</v>
      </c>
      <c r="D15" s="499"/>
      <c r="E15" s="500"/>
      <c r="F15" s="627">
        <f t="shared" si="4"/>
        <v>62290</v>
      </c>
      <c r="G15" s="627">
        <f t="shared" si="4"/>
        <v>74778</v>
      </c>
      <c r="H15" s="627">
        <f t="shared" si="4"/>
        <v>39622</v>
      </c>
      <c r="I15" s="627">
        <f t="shared" si="4"/>
        <v>51352</v>
      </c>
      <c r="J15" s="627">
        <f t="shared" si="4"/>
        <v>50729</v>
      </c>
      <c r="K15" s="627">
        <f t="shared" si="4"/>
        <v>67770</v>
      </c>
      <c r="L15" s="627">
        <f t="shared" si="4"/>
        <v>79380</v>
      </c>
      <c r="M15" s="627">
        <f t="shared" si="4"/>
        <v>92692</v>
      </c>
      <c r="N15" s="627">
        <f t="shared" si="4"/>
        <v>109009</v>
      </c>
      <c r="O15" s="627">
        <f t="shared" si="4"/>
        <v>113219</v>
      </c>
      <c r="P15" s="627">
        <f t="shared" si="4"/>
        <v>110433</v>
      </c>
      <c r="Q15" s="628">
        <f t="shared" si="5"/>
        <v>-2.4608440917238794</v>
      </c>
      <c r="R15" s="628">
        <f t="shared" si="5"/>
        <v>5.8930992015753469</v>
      </c>
      <c r="S15" s="601"/>
      <c r="T15" s="99"/>
      <c r="U15" s="100"/>
      <c r="V15" s="101" t="s">
        <v>476</v>
      </c>
      <c r="W15" s="102">
        <v>62290861027</v>
      </c>
      <c r="X15" s="102">
        <v>74778781410</v>
      </c>
      <c r="Y15" s="102">
        <v>39622956589</v>
      </c>
      <c r="Z15" s="102">
        <v>51352424953</v>
      </c>
      <c r="AA15" s="102">
        <v>50729093070</v>
      </c>
      <c r="AB15" s="102">
        <v>67770597790</v>
      </c>
      <c r="AC15" s="102">
        <v>79380738641</v>
      </c>
      <c r="AD15" s="102">
        <v>92692215171</v>
      </c>
      <c r="AE15" s="102">
        <v>109009457128</v>
      </c>
      <c r="AF15" s="103">
        <v>113219682359</v>
      </c>
      <c r="AG15" s="104">
        <v>110433522495</v>
      </c>
      <c r="AH15" s="106">
        <f t="shared" si="6"/>
        <v>-2.4608440917238794</v>
      </c>
      <c r="AI15" s="106">
        <f t="shared" si="7"/>
        <v>5.8930992015753469</v>
      </c>
      <c r="AJ15" s="98"/>
    </row>
    <row r="16" spans="1:37">
      <c r="A16" s="494"/>
      <c r="B16" s="493"/>
      <c r="C16" s="1793" t="s">
        <v>1200</v>
      </c>
      <c r="D16" s="496"/>
      <c r="E16" s="497"/>
      <c r="F16" s="625">
        <f t="shared" si="4"/>
        <v>31647</v>
      </c>
      <c r="G16" s="625">
        <f t="shared" si="4"/>
        <v>38176</v>
      </c>
      <c r="H16" s="625">
        <f t="shared" si="4"/>
        <v>50102</v>
      </c>
      <c r="I16" s="625">
        <f t="shared" si="4"/>
        <v>49168</v>
      </c>
      <c r="J16" s="625">
        <f t="shared" si="4"/>
        <v>35153</v>
      </c>
      <c r="K16" s="625">
        <f t="shared" si="4"/>
        <v>37175</v>
      </c>
      <c r="L16" s="625">
        <f t="shared" si="4"/>
        <v>46880</v>
      </c>
      <c r="M16" s="625">
        <f t="shared" si="4"/>
        <v>48198</v>
      </c>
      <c r="N16" s="625">
        <f t="shared" si="4"/>
        <v>72535</v>
      </c>
      <c r="O16" s="625">
        <f t="shared" si="4"/>
        <v>59993</v>
      </c>
      <c r="P16" s="625">
        <f>ROUNDDOWN(AG16,-6)/1000000</f>
        <v>59163</v>
      </c>
      <c r="Q16" s="629">
        <f t="shared" si="5"/>
        <v>-1.383356950723813</v>
      </c>
      <c r="R16" s="629">
        <f t="shared" si="5"/>
        <v>6.4561965428021395</v>
      </c>
      <c r="S16" s="601"/>
      <c r="T16" s="99"/>
      <c r="U16" s="100"/>
      <c r="V16" s="101" t="s">
        <v>477</v>
      </c>
      <c r="W16" s="102">
        <v>31647999675</v>
      </c>
      <c r="X16" s="102">
        <v>38176811109</v>
      </c>
      <c r="Y16" s="102">
        <v>50102055861</v>
      </c>
      <c r="Z16" s="102">
        <v>49168219478</v>
      </c>
      <c r="AA16" s="102">
        <v>35153307845</v>
      </c>
      <c r="AB16" s="102">
        <v>37175772019</v>
      </c>
      <c r="AC16" s="102">
        <v>46880229847</v>
      </c>
      <c r="AD16" s="102">
        <v>48198549636</v>
      </c>
      <c r="AE16" s="102">
        <v>72535386484</v>
      </c>
      <c r="AF16" s="103">
        <v>59993680703</v>
      </c>
      <c r="AG16" s="104">
        <v>59163753951</v>
      </c>
      <c r="AH16" s="106">
        <f t="shared" si="6"/>
        <v>-1.383356950723813</v>
      </c>
      <c r="AI16" s="106">
        <f t="shared" si="7"/>
        <v>6.4561965428021395</v>
      </c>
      <c r="AJ16" s="98"/>
    </row>
    <row r="17" spans="1:36">
      <c r="A17" s="494"/>
      <c r="B17" s="494"/>
      <c r="C17" s="1794" t="s">
        <v>1201</v>
      </c>
      <c r="D17" s="499"/>
      <c r="E17" s="500"/>
      <c r="F17" s="627">
        <f t="shared" si="4"/>
        <v>255</v>
      </c>
      <c r="G17" s="627">
        <f t="shared" si="4"/>
        <v>4092</v>
      </c>
      <c r="H17" s="627">
        <f t="shared" si="4"/>
        <v>3569</v>
      </c>
      <c r="I17" s="627">
        <f t="shared" si="4"/>
        <v>3112</v>
      </c>
      <c r="J17" s="627">
        <f t="shared" si="4"/>
        <v>3060</v>
      </c>
      <c r="K17" s="627">
        <f t="shared" si="4"/>
        <v>3174</v>
      </c>
      <c r="L17" s="627">
        <f t="shared" si="4"/>
        <v>2828</v>
      </c>
      <c r="M17" s="627">
        <f t="shared" si="4"/>
        <v>2420</v>
      </c>
      <c r="N17" s="627">
        <f t="shared" si="4"/>
        <v>2665</v>
      </c>
      <c r="O17" s="627">
        <f t="shared" si="4"/>
        <v>2246</v>
      </c>
      <c r="P17" s="627">
        <f t="shared" si="4"/>
        <v>2098</v>
      </c>
      <c r="Q17" s="628">
        <f t="shared" si="5"/>
        <v>-6.5792394323613941</v>
      </c>
      <c r="R17" s="628">
        <f t="shared" si="5"/>
        <v>23.449385895209083</v>
      </c>
      <c r="S17" s="601"/>
      <c r="T17" s="99"/>
      <c r="U17" s="100"/>
      <c r="V17" s="101" t="s">
        <v>478</v>
      </c>
      <c r="W17" s="102">
        <v>255319278</v>
      </c>
      <c r="X17" s="102">
        <v>4092144625</v>
      </c>
      <c r="Y17" s="102">
        <v>3569660360</v>
      </c>
      <c r="Z17" s="102">
        <v>3112450539</v>
      </c>
      <c r="AA17" s="102">
        <v>3060506239</v>
      </c>
      <c r="AB17" s="102">
        <v>3174883094</v>
      </c>
      <c r="AC17" s="102">
        <v>2828517651</v>
      </c>
      <c r="AD17" s="102">
        <v>2420271523</v>
      </c>
      <c r="AE17" s="102">
        <v>2665738338</v>
      </c>
      <c r="AF17" s="103">
        <v>2246619621</v>
      </c>
      <c r="AG17" s="104">
        <v>2098809137</v>
      </c>
      <c r="AH17" s="106">
        <f t="shared" si="6"/>
        <v>-6.5792394323613941</v>
      </c>
      <c r="AI17" s="106">
        <f t="shared" si="7"/>
        <v>23.449385895209083</v>
      </c>
      <c r="AJ17" s="98"/>
    </row>
    <row r="18" spans="1:36">
      <c r="A18" s="494"/>
      <c r="B18" s="493"/>
      <c r="C18" s="1793" t="s">
        <v>1202</v>
      </c>
      <c r="D18" s="496"/>
      <c r="E18" s="497"/>
      <c r="F18" s="625">
        <f t="shared" si="4"/>
        <v>155183</v>
      </c>
      <c r="G18" s="625">
        <f t="shared" si="4"/>
        <v>159197</v>
      </c>
      <c r="H18" s="625">
        <f t="shared" si="4"/>
        <v>172190</v>
      </c>
      <c r="I18" s="625">
        <f t="shared" si="4"/>
        <v>183535</v>
      </c>
      <c r="J18" s="625">
        <f t="shared" si="4"/>
        <v>183980</v>
      </c>
      <c r="K18" s="625">
        <f t="shared" si="4"/>
        <v>173524</v>
      </c>
      <c r="L18" s="625">
        <f t="shared" si="4"/>
        <v>182473</v>
      </c>
      <c r="M18" s="625">
        <f t="shared" si="4"/>
        <v>194154</v>
      </c>
      <c r="N18" s="625">
        <f t="shared" si="4"/>
        <v>199021</v>
      </c>
      <c r="O18" s="625">
        <f t="shared" si="4"/>
        <v>207354</v>
      </c>
      <c r="P18" s="625">
        <f t="shared" si="4"/>
        <v>210966</v>
      </c>
      <c r="Q18" s="629">
        <f t="shared" si="5"/>
        <v>1.7422052742714467</v>
      </c>
      <c r="R18" s="629">
        <f t="shared" si="5"/>
        <v>3.1185379018923598</v>
      </c>
      <c r="S18" s="601"/>
      <c r="T18" s="99"/>
      <c r="U18" s="100"/>
      <c r="V18" s="101" t="s">
        <v>479</v>
      </c>
      <c r="W18" s="102">
        <v>155183979708</v>
      </c>
      <c r="X18" s="102">
        <v>159197510419</v>
      </c>
      <c r="Y18" s="102">
        <v>172190074213</v>
      </c>
      <c r="Z18" s="102">
        <v>183535060080</v>
      </c>
      <c r="AA18" s="102">
        <v>183980642208</v>
      </c>
      <c r="AB18" s="102">
        <v>173524144342</v>
      </c>
      <c r="AC18" s="102">
        <v>182473881840</v>
      </c>
      <c r="AD18" s="102">
        <v>194154077518</v>
      </c>
      <c r="AE18" s="102">
        <v>199021703974</v>
      </c>
      <c r="AF18" s="103">
        <v>207354375707</v>
      </c>
      <c r="AG18" s="104">
        <v>210966914577</v>
      </c>
      <c r="AH18" s="106">
        <f t="shared" si="6"/>
        <v>1.7422052742714467</v>
      </c>
      <c r="AI18" s="106">
        <f t="shared" si="7"/>
        <v>3.1185379018923598</v>
      </c>
      <c r="AJ18" s="98"/>
    </row>
    <row r="19" spans="1:36">
      <c r="A19" s="494"/>
      <c r="B19" s="494"/>
      <c r="C19" s="1794" t="s">
        <v>1203</v>
      </c>
      <c r="D19" s="499"/>
      <c r="E19" s="500"/>
      <c r="F19" s="627">
        <f t="shared" si="4"/>
        <v>154155</v>
      </c>
      <c r="G19" s="627">
        <f t="shared" si="4"/>
        <v>158029</v>
      </c>
      <c r="H19" s="627">
        <f t="shared" si="4"/>
        <v>170767</v>
      </c>
      <c r="I19" s="627">
        <f t="shared" si="4"/>
        <v>181698</v>
      </c>
      <c r="J19" s="627">
        <f t="shared" si="4"/>
        <v>181939</v>
      </c>
      <c r="K19" s="627">
        <f t="shared" si="4"/>
        <v>171394</v>
      </c>
      <c r="L19" s="627">
        <f t="shared" si="4"/>
        <v>179880</v>
      </c>
      <c r="M19" s="627">
        <f t="shared" si="4"/>
        <v>190997</v>
      </c>
      <c r="N19" s="627">
        <f t="shared" si="4"/>
        <v>195558</v>
      </c>
      <c r="O19" s="627">
        <f t="shared" si="4"/>
        <v>203761</v>
      </c>
      <c r="P19" s="627">
        <f t="shared" si="4"/>
        <v>207078</v>
      </c>
      <c r="Q19" s="628">
        <f t="shared" si="5"/>
        <v>1.6275824141304129</v>
      </c>
      <c r="R19" s="628">
        <f t="shared" si="5"/>
        <v>2.9953168832600463</v>
      </c>
      <c r="S19" s="601"/>
      <c r="T19" s="99"/>
      <c r="U19" s="107"/>
      <c r="V19" s="101" t="s">
        <v>480</v>
      </c>
      <c r="W19" s="102">
        <v>154155709090</v>
      </c>
      <c r="X19" s="102">
        <v>158029069122</v>
      </c>
      <c r="Y19" s="102">
        <v>170767296892</v>
      </c>
      <c r="Z19" s="102">
        <v>181698183926</v>
      </c>
      <c r="AA19" s="102">
        <v>181939622790</v>
      </c>
      <c r="AB19" s="102">
        <v>171394303540</v>
      </c>
      <c r="AC19" s="102">
        <v>179880492124</v>
      </c>
      <c r="AD19" s="102">
        <v>190997292245</v>
      </c>
      <c r="AE19" s="102">
        <v>195558232885</v>
      </c>
      <c r="AF19" s="103">
        <v>203761814837</v>
      </c>
      <c r="AG19" s="104">
        <v>207078206302</v>
      </c>
      <c r="AH19" s="106">
        <f t="shared" si="6"/>
        <v>1.6275824141304129</v>
      </c>
      <c r="AI19" s="106">
        <f t="shared" si="7"/>
        <v>2.9953168832600463</v>
      </c>
      <c r="AJ19" s="98"/>
    </row>
    <row r="20" spans="1:36" ht="15.75" customHeight="1">
      <c r="A20" s="494"/>
      <c r="B20" s="501" t="s">
        <v>520</v>
      </c>
      <c r="C20" s="502"/>
      <c r="D20" s="503"/>
      <c r="E20" s="502"/>
      <c r="F20" s="637"/>
      <c r="G20" s="637"/>
      <c r="H20" s="637"/>
      <c r="I20" s="637"/>
      <c r="J20" s="637"/>
      <c r="K20" s="637"/>
      <c r="L20" s="637"/>
      <c r="M20" s="637"/>
      <c r="N20" s="637"/>
      <c r="O20" s="637"/>
      <c r="P20" s="637"/>
      <c r="Q20" s="638"/>
      <c r="R20" s="638"/>
      <c r="S20" s="601"/>
      <c r="T20" s="99"/>
      <c r="U20" s="116" t="s">
        <v>481</v>
      </c>
      <c r="V20" s="117"/>
      <c r="W20" s="118"/>
      <c r="X20" s="118"/>
      <c r="Y20" s="118"/>
      <c r="Z20" s="118"/>
      <c r="AA20" s="118"/>
      <c r="AB20" s="118"/>
      <c r="AC20" s="118"/>
      <c r="AD20" s="118"/>
      <c r="AE20" s="118"/>
      <c r="AF20" s="119"/>
      <c r="AG20" s="120"/>
      <c r="AH20" s="121"/>
      <c r="AI20" s="121"/>
      <c r="AJ20" s="98"/>
    </row>
    <row r="21" spans="1:36">
      <c r="A21" s="494"/>
      <c r="B21" s="493"/>
      <c r="C21" s="1795" t="s">
        <v>1204</v>
      </c>
      <c r="D21" s="496"/>
      <c r="E21" s="497"/>
      <c r="F21" s="639">
        <f t="shared" ref="F21:R22" si="8">W21</f>
        <v>43.46</v>
      </c>
      <c r="G21" s="639">
        <f t="shared" si="8"/>
        <v>45.01</v>
      </c>
      <c r="H21" s="639">
        <f t="shared" si="8"/>
        <v>47.79</v>
      </c>
      <c r="I21" s="639">
        <f t="shared" si="8"/>
        <v>50.27</v>
      </c>
      <c r="J21" s="639">
        <f t="shared" si="8"/>
        <v>41.22</v>
      </c>
      <c r="K21" s="639">
        <f t="shared" si="8"/>
        <v>8.06</v>
      </c>
      <c r="L21" s="639">
        <f t="shared" si="8"/>
        <v>59.9</v>
      </c>
      <c r="M21" s="639">
        <f t="shared" si="8"/>
        <v>61.34</v>
      </c>
      <c r="N21" s="639">
        <f t="shared" si="8"/>
        <v>68.28</v>
      </c>
      <c r="O21" s="639">
        <f t="shared" si="8"/>
        <v>78.650000000000006</v>
      </c>
      <c r="P21" s="639">
        <f>AG21</f>
        <v>88.78</v>
      </c>
      <c r="Q21" s="640" t="str">
        <f t="shared" si="8"/>
        <v>-</v>
      </c>
      <c r="R21" s="640" t="str">
        <f t="shared" si="8"/>
        <v>-</v>
      </c>
      <c r="S21" s="601"/>
      <c r="T21" s="99"/>
      <c r="U21" s="100"/>
      <c r="V21" s="101" t="s">
        <v>482</v>
      </c>
      <c r="W21" s="122">
        <v>43.46</v>
      </c>
      <c r="X21" s="122">
        <v>45.01</v>
      </c>
      <c r="Y21" s="122">
        <v>47.79</v>
      </c>
      <c r="Z21" s="122">
        <v>50.27</v>
      </c>
      <c r="AA21" s="122">
        <v>41.22</v>
      </c>
      <c r="AB21" s="122">
        <v>8.06</v>
      </c>
      <c r="AC21" s="122">
        <v>59.9</v>
      </c>
      <c r="AD21" s="122">
        <v>61.34</v>
      </c>
      <c r="AE21" s="122">
        <v>68.28</v>
      </c>
      <c r="AF21" s="123">
        <v>78.650000000000006</v>
      </c>
      <c r="AG21" s="124">
        <v>88.78</v>
      </c>
      <c r="AH21" s="125" t="s">
        <v>8</v>
      </c>
      <c r="AI21" s="125" t="s">
        <v>8</v>
      </c>
      <c r="AJ21" s="98"/>
    </row>
    <row r="22" spans="1:36">
      <c r="A22" s="494"/>
      <c r="B22" s="494"/>
      <c r="C22" s="1794" t="s">
        <v>1205</v>
      </c>
      <c r="D22" s="499"/>
      <c r="E22" s="500"/>
      <c r="F22" s="641">
        <f>W22</f>
        <v>20.399999999999999</v>
      </c>
      <c r="G22" s="641">
        <f t="shared" si="8"/>
        <v>23.2</v>
      </c>
      <c r="H22" s="641">
        <f t="shared" si="8"/>
        <v>23.9</v>
      </c>
      <c r="I22" s="641">
        <f t="shared" si="8"/>
        <v>25.2</v>
      </c>
      <c r="J22" s="641">
        <f t="shared" si="8"/>
        <v>27.7</v>
      </c>
      <c r="K22" s="641">
        <f t="shared" si="8"/>
        <v>27.75</v>
      </c>
      <c r="L22" s="641">
        <f t="shared" si="8"/>
        <v>33.1</v>
      </c>
      <c r="M22" s="641">
        <f t="shared" si="8"/>
        <v>33.75</v>
      </c>
      <c r="N22" s="641">
        <f t="shared" si="8"/>
        <v>37.700000000000003</v>
      </c>
      <c r="O22" s="641">
        <f t="shared" si="8"/>
        <v>43.4</v>
      </c>
      <c r="P22" s="641">
        <f>AG22</f>
        <v>54.7</v>
      </c>
      <c r="Q22" s="628">
        <f t="shared" si="8"/>
        <v>26.036866359447018</v>
      </c>
      <c r="R22" s="628">
        <f t="shared" si="8"/>
        <v>10.366105007800241</v>
      </c>
      <c r="S22" s="601"/>
      <c r="T22" s="99"/>
      <c r="U22" s="107"/>
      <c r="V22" s="101" t="s">
        <v>483</v>
      </c>
      <c r="W22" s="122">
        <v>20.399999999999999</v>
      </c>
      <c r="X22" s="122">
        <v>23.2</v>
      </c>
      <c r="Y22" s="122">
        <v>23.9</v>
      </c>
      <c r="Z22" s="122">
        <v>25.2</v>
      </c>
      <c r="AA22" s="122">
        <v>27.7</v>
      </c>
      <c r="AB22" s="122">
        <v>27.75</v>
      </c>
      <c r="AC22" s="122">
        <v>33.1</v>
      </c>
      <c r="AD22" s="122">
        <v>33.75</v>
      </c>
      <c r="AE22" s="122">
        <v>37.700000000000003</v>
      </c>
      <c r="AF22" s="126">
        <v>43.4</v>
      </c>
      <c r="AG22" s="124">
        <v>54.7</v>
      </c>
      <c r="AH22" s="106">
        <f>(AG22/AF22-1)*100</f>
        <v>26.036866359447018</v>
      </c>
      <c r="AI22" s="106">
        <f>((AG22/W22)^(1/10)-1)*100</f>
        <v>10.366105007800241</v>
      </c>
      <c r="AJ22" s="98"/>
    </row>
    <row r="23" spans="1:36" ht="15.75" customHeight="1">
      <c r="A23" s="494"/>
      <c r="B23" s="501" t="s">
        <v>521</v>
      </c>
      <c r="C23" s="502"/>
      <c r="D23" s="503"/>
      <c r="E23" s="502"/>
      <c r="F23" s="637"/>
      <c r="G23" s="637"/>
      <c r="H23" s="637"/>
      <c r="I23" s="637"/>
      <c r="J23" s="637"/>
      <c r="K23" s="637"/>
      <c r="L23" s="637"/>
      <c r="M23" s="637"/>
      <c r="N23" s="637"/>
      <c r="O23" s="637"/>
      <c r="P23" s="637"/>
      <c r="Q23" s="638"/>
      <c r="R23" s="638"/>
      <c r="S23" s="601"/>
      <c r="T23" s="99"/>
      <c r="U23" s="116" t="s">
        <v>319</v>
      </c>
      <c r="V23" s="117"/>
      <c r="W23" s="118"/>
      <c r="X23" s="118"/>
      <c r="Y23" s="118"/>
      <c r="Z23" s="118"/>
      <c r="AA23" s="118"/>
      <c r="AB23" s="118"/>
      <c r="AC23" s="118"/>
      <c r="AD23" s="118"/>
      <c r="AE23" s="118"/>
      <c r="AF23" s="119"/>
      <c r="AG23" s="120"/>
      <c r="AH23" s="127"/>
      <c r="AI23" s="127"/>
      <c r="AJ23" s="98"/>
    </row>
    <row r="24" spans="1:36">
      <c r="A24" s="494"/>
      <c r="B24" s="493"/>
      <c r="C24" s="2187" t="s">
        <v>1206</v>
      </c>
      <c r="D24" s="2188"/>
      <c r="E24" s="2188"/>
      <c r="F24" s="642">
        <f t="shared" ref="F24:R24" si="9">W24</f>
        <v>50.3</v>
      </c>
      <c r="G24" s="642">
        <f t="shared" si="9"/>
        <v>48.2</v>
      </c>
      <c r="H24" s="642">
        <f t="shared" si="9"/>
        <v>48</v>
      </c>
      <c r="I24" s="642">
        <f t="shared" si="9"/>
        <v>46.5</v>
      </c>
      <c r="J24" s="642">
        <f t="shared" si="9"/>
        <v>46.1</v>
      </c>
      <c r="K24" s="642">
        <f t="shared" si="9"/>
        <v>48.4</v>
      </c>
      <c r="L24" s="642">
        <f t="shared" si="9"/>
        <v>51</v>
      </c>
      <c r="M24" s="642">
        <f t="shared" si="9"/>
        <v>49.3</v>
      </c>
      <c r="N24" s="642">
        <f t="shared" si="9"/>
        <v>50.1</v>
      </c>
      <c r="O24" s="642">
        <f t="shared" si="9"/>
        <v>52.1</v>
      </c>
      <c r="P24" s="642">
        <f t="shared" si="9"/>
        <v>52.6</v>
      </c>
      <c r="Q24" s="640" t="str">
        <f t="shared" si="9"/>
        <v>-</v>
      </c>
      <c r="R24" s="640" t="str">
        <f t="shared" si="9"/>
        <v>-</v>
      </c>
      <c r="S24" s="601"/>
      <c r="T24" s="99"/>
      <c r="U24" s="100"/>
      <c r="V24" s="101" t="s">
        <v>484</v>
      </c>
      <c r="W24" s="128">
        <f>ROUND(W9/W8*100,1)</f>
        <v>50.3</v>
      </c>
      <c r="X24" s="128">
        <f t="shared" ref="X24:AE24" si="10">ROUND(X9/X8*100,1)</f>
        <v>48.2</v>
      </c>
      <c r="Y24" s="128">
        <f t="shared" si="10"/>
        <v>48</v>
      </c>
      <c r="Z24" s="128">
        <f t="shared" si="10"/>
        <v>46.5</v>
      </c>
      <c r="AA24" s="128">
        <f t="shared" si="10"/>
        <v>46.1</v>
      </c>
      <c r="AB24" s="128">
        <f t="shared" si="10"/>
        <v>48.4</v>
      </c>
      <c r="AC24" s="128">
        <f t="shared" si="10"/>
        <v>51</v>
      </c>
      <c r="AD24" s="128">
        <f t="shared" si="10"/>
        <v>49.3</v>
      </c>
      <c r="AE24" s="128">
        <f t="shared" si="10"/>
        <v>50.1</v>
      </c>
      <c r="AF24" s="129">
        <f>ROUND(AF9/AF8*100,1)</f>
        <v>52.1</v>
      </c>
      <c r="AG24" s="130">
        <f>ROUND(AG9/AG8*100,1)</f>
        <v>52.6</v>
      </c>
      <c r="AH24" s="125" t="s">
        <v>8</v>
      </c>
      <c r="AI24" s="125" t="s">
        <v>8</v>
      </c>
      <c r="AJ24" s="98"/>
    </row>
    <row r="25" spans="1:36">
      <c r="A25" s="494"/>
      <c r="B25" s="494"/>
      <c r="C25" s="2183" t="s">
        <v>485</v>
      </c>
      <c r="D25" s="2183"/>
      <c r="E25" s="2183"/>
      <c r="F25" s="643">
        <f>ROUND(W25*100,1)</f>
        <v>15.1</v>
      </c>
      <c r="G25" s="643">
        <f t="shared" ref="G25:P28" si="11">ROUND(X25*100,1)</f>
        <v>14.7</v>
      </c>
      <c r="H25" s="643">
        <f t="shared" si="11"/>
        <v>14.8</v>
      </c>
      <c r="I25" s="643">
        <f t="shared" si="11"/>
        <v>14.5</v>
      </c>
      <c r="J25" s="643">
        <f t="shared" si="11"/>
        <v>11.3</v>
      </c>
      <c r="K25" s="643">
        <f t="shared" si="11"/>
        <v>2.2999999999999998</v>
      </c>
      <c r="L25" s="643">
        <f t="shared" si="11"/>
        <v>16.899999999999999</v>
      </c>
      <c r="M25" s="643">
        <f t="shared" si="11"/>
        <v>16.2</v>
      </c>
      <c r="N25" s="643">
        <f t="shared" si="11"/>
        <v>17</v>
      </c>
      <c r="O25" s="643">
        <f t="shared" si="11"/>
        <v>18.899999999999999</v>
      </c>
      <c r="P25" s="643">
        <f t="shared" si="11"/>
        <v>20.100000000000001</v>
      </c>
      <c r="Q25" s="644" t="str">
        <f t="shared" ref="Q25:Q35" si="12">AH25</f>
        <v>-</v>
      </c>
      <c r="R25" s="644" t="str">
        <f t="shared" ref="R25:R35" si="13">AI25</f>
        <v>-</v>
      </c>
      <c r="S25" s="601"/>
      <c r="T25" s="99"/>
      <c r="U25" s="100"/>
      <c r="V25" s="101" t="s">
        <v>486</v>
      </c>
      <c r="W25" s="131">
        <v>0.15123364185326202</v>
      </c>
      <c r="X25" s="131">
        <v>0.14677088185537532</v>
      </c>
      <c r="Y25" s="131">
        <v>0.1477</v>
      </c>
      <c r="Z25" s="131">
        <v>0.1449</v>
      </c>
      <c r="AA25" s="131">
        <v>0.1134</v>
      </c>
      <c r="AB25" s="131">
        <v>2.3E-2</v>
      </c>
      <c r="AC25" s="131">
        <v>0.16935798984822209</v>
      </c>
      <c r="AD25" s="131">
        <v>0.16182683090633948</v>
      </c>
      <c r="AE25" s="131">
        <v>0.17025491604567511</v>
      </c>
      <c r="AF25" s="132">
        <v>0.18850285076196271</v>
      </c>
      <c r="AG25" s="133">
        <v>0.201347717500026</v>
      </c>
      <c r="AH25" s="125" t="s">
        <v>8</v>
      </c>
      <c r="AI25" s="125" t="s">
        <v>8</v>
      </c>
      <c r="AJ25" s="98"/>
    </row>
    <row r="26" spans="1:36">
      <c r="A26" s="494"/>
      <c r="B26" s="493"/>
      <c r="C26" s="2182" t="s">
        <v>487</v>
      </c>
      <c r="D26" s="2182"/>
      <c r="E26" s="2182"/>
      <c r="F26" s="642">
        <f>ROUND(W26*100,1)</f>
        <v>19.5</v>
      </c>
      <c r="G26" s="642">
        <f t="shared" si="11"/>
        <v>17.2</v>
      </c>
      <c r="H26" s="642">
        <f t="shared" si="11"/>
        <v>17.5</v>
      </c>
      <c r="I26" s="642">
        <f t="shared" si="11"/>
        <v>16.7</v>
      </c>
      <c r="J26" s="642">
        <f t="shared" si="11"/>
        <v>16.2</v>
      </c>
      <c r="K26" s="642">
        <f t="shared" si="11"/>
        <v>17.2</v>
      </c>
      <c r="L26" s="642">
        <f t="shared" si="11"/>
        <v>19.3</v>
      </c>
      <c r="M26" s="642">
        <f t="shared" si="11"/>
        <v>18.899999999999999</v>
      </c>
      <c r="N26" s="642">
        <f t="shared" si="11"/>
        <v>19.3</v>
      </c>
      <c r="O26" s="642">
        <f t="shared" si="11"/>
        <v>20.399999999999999</v>
      </c>
      <c r="P26" s="642">
        <f t="shared" si="11"/>
        <v>22.5</v>
      </c>
      <c r="Q26" s="640" t="str">
        <f t="shared" si="12"/>
        <v>-</v>
      </c>
      <c r="R26" s="640" t="str">
        <f t="shared" si="13"/>
        <v>-</v>
      </c>
      <c r="S26" s="601"/>
      <c r="T26" s="99"/>
      <c r="U26" s="100"/>
      <c r="V26" s="101" t="s">
        <v>488</v>
      </c>
      <c r="W26" s="131">
        <v>0.19515103449593757</v>
      </c>
      <c r="X26" s="131">
        <v>0.17178206846037281</v>
      </c>
      <c r="Y26" s="131">
        <v>0.17480000000000001</v>
      </c>
      <c r="Z26" s="131">
        <v>0.16719999999999999</v>
      </c>
      <c r="AA26" s="131">
        <v>0.16239999999999999</v>
      </c>
      <c r="AB26" s="131">
        <v>0.17199999999999999</v>
      </c>
      <c r="AC26" s="131">
        <v>0.19258628337963052</v>
      </c>
      <c r="AD26" s="131">
        <v>0.18864039564207671</v>
      </c>
      <c r="AE26" s="131">
        <v>0.19324323136263086</v>
      </c>
      <c r="AF26" s="132">
        <v>0.20368640868610335</v>
      </c>
      <c r="AG26" s="133">
        <v>0.22546167852500301</v>
      </c>
      <c r="AH26" s="125" t="s">
        <v>8</v>
      </c>
      <c r="AI26" s="125" t="s">
        <v>8</v>
      </c>
      <c r="AJ26" s="98"/>
    </row>
    <row r="27" spans="1:36">
      <c r="A27" s="494"/>
      <c r="B27" s="494"/>
      <c r="C27" s="2183" t="s">
        <v>1207</v>
      </c>
      <c r="D27" s="2181"/>
      <c r="E27" s="2181"/>
      <c r="F27" s="643">
        <f>ROUND(W27*100,1)</f>
        <v>47</v>
      </c>
      <c r="G27" s="643">
        <f t="shared" si="11"/>
        <v>51.5</v>
      </c>
      <c r="H27" s="643">
        <f t="shared" si="11"/>
        <v>50.1</v>
      </c>
      <c r="I27" s="643">
        <f t="shared" si="11"/>
        <v>50.1</v>
      </c>
      <c r="J27" s="643">
        <f t="shared" si="11"/>
        <v>67</v>
      </c>
      <c r="K27" s="643">
        <f t="shared" si="11"/>
        <v>344.5</v>
      </c>
      <c r="L27" s="643">
        <f t="shared" si="11"/>
        <v>55</v>
      </c>
      <c r="M27" s="643">
        <f t="shared" si="11"/>
        <v>55</v>
      </c>
      <c r="N27" s="643">
        <f t="shared" si="11"/>
        <v>55.1</v>
      </c>
      <c r="O27" s="643">
        <f t="shared" si="11"/>
        <v>55</v>
      </c>
      <c r="P27" s="643">
        <f>ROUND(AG27*100,1)</f>
        <v>61.4</v>
      </c>
      <c r="Q27" s="644" t="str">
        <f t="shared" si="12"/>
        <v>-</v>
      </c>
      <c r="R27" s="644" t="str">
        <f t="shared" si="13"/>
        <v>-</v>
      </c>
      <c r="S27" s="601"/>
      <c r="T27" s="99"/>
      <c r="U27" s="100"/>
      <c r="V27" s="101" t="s">
        <v>489</v>
      </c>
      <c r="W27" s="134">
        <v>0.47010439208809118</v>
      </c>
      <c r="X27" s="134">
        <v>0.51514084258793902</v>
      </c>
      <c r="Y27" s="134">
        <v>0.501</v>
      </c>
      <c r="Z27" s="134">
        <v>0.501</v>
      </c>
      <c r="AA27" s="134">
        <v>0.67</v>
      </c>
      <c r="AB27" s="134">
        <v>3.4449999999999998</v>
      </c>
      <c r="AC27" s="134">
        <v>0.55031475632052795</v>
      </c>
      <c r="AD27" s="134">
        <v>0.5502459232210285</v>
      </c>
      <c r="AE27" s="134">
        <v>0.55052346254335716</v>
      </c>
      <c r="AF27" s="135">
        <v>0.55017216325268103</v>
      </c>
      <c r="AG27" s="133">
        <v>0.61352374122689401</v>
      </c>
      <c r="AH27" s="125" t="s">
        <v>8</v>
      </c>
      <c r="AI27" s="125" t="s">
        <v>8</v>
      </c>
      <c r="AJ27" s="98"/>
    </row>
    <row r="28" spans="1:36">
      <c r="A28" s="494"/>
      <c r="B28" s="493"/>
      <c r="C28" s="2176" t="s">
        <v>1208</v>
      </c>
      <c r="D28" s="2177"/>
      <c r="E28" s="2177"/>
      <c r="F28" s="642">
        <f>ROUND(W28*100,1)</f>
        <v>82.5</v>
      </c>
      <c r="G28" s="642">
        <f t="shared" si="11"/>
        <v>80.099999999999994</v>
      </c>
      <c r="H28" s="642">
        <f t="shared" si="11"/>
        <v>76.8</v>
      </c>
      <c r="I28" s="642">
        <f t="shared" si="11"/>
        <v>78.099999999999994</v>
      </c>
      <c r="J28" s="642">
        <f t="shared" si="11"/>
        <v>83</v>
      </c>
      <c r="K28" s="642">
        <f t="shared" si="11"/>
        <v>81.3</v>
      </c>
      <c r="L28" s="642">
        <f t="shared" si="11"/>
        <v>78.400000000000006</v>
      </c>
      <c r="M28" s="642">
        <f t="shared" si="11"/>
        <v>78.8</v>
      </c>
      <c r="N28" s="642">
        <f t="shared" si="11"/>
        <v>72</v>
      </c>
      <c r="O28" s="642">
        <f t="shared" si="11"/>
        <v>76.2</v>
      </c>
      <c r="P28" s="642">
        <f>ROUND(AG28*100,1)</f>
        <v>76.7</v>
      </c>
      <c r="Q28" s="640" t="str">
        <f t="shared" si="12"/>
        <v>-</v>
      </c>
      <c r="R28" s="640" t="str">
        <f t="shared" si="13"/>
        <v>-</v>
      </c>
      <c r="S28" s="601"/>
      <c r="T28" s="99"/>
      <c r="U28" s="100"/>
      <c r="V28" s="101" t="s">
        <v>490</v>
      </c>
      <c r="W28" s="134">
        <v>0.82510344106554356</v>
      </c>
      <c r="X28" s="134">
        <v>0.80065668065935103</v>
      </c>
      <c r="Y28" s="134">
        <v>0.76800000000000002</v>
      </c>
      <c r="Z28" s="134">
        <v>0.78100000000000003</v>
      </c>
      <c r="AA28" s="134">
        <v>0.83020000000000005</v>
      </c>
      <c r="AB28" s="134">
        <v>0.81299999999999994</v>
      </c>
      <c r="AC28" s="134">
        <v>0.78429155161379127</v>
      </c>
      <c r="AD28" s="134">
        <v>0.78800000000000003</v>
      </c>
      <c r="AE28" s="134">
        <v>0.72013672173014298</v>
      </c>
      <c r="AF28" s="135">
        <v>0.76215932733213765</v>
      </c>
      <c r="AG28" s="136">
        <v>0.76658532491113895</v>
      </c>
      <c r="AH28" s="125" t="s">
        <v>8</v>
      </c>
      <c r="AI28" s="125" t="s">
        <v>8</v>
      </c>
      <c r="AJ28" s="98"/>
    </row>
    <row r="29" spans="1:36">
      <c r="A29" s="494"/>
      <c r="B29" s="494"/>
      <c r="C29" s="2180" t="s">
        <v>1721</v>
      </c>
      <c r="D29" s="2181"/>
      <c r="E29" s="2181"/>
      <c r="F29" s="627">
        <f t="shared" ref="F29:P29" si="14">ROUNDDOWN(W29,-3)/1000</f>
        <v>516294</v>
      </c>
      <c r="G29" s="627">
        <f t="shared" si="14"/>
        <v>507954</v>
      </c>
      <c r="H29" s="627">
        <f t="shared" si="14"/>
        <v>508210</v>
      </c>
      <c r="I29" s="627">
        <f t="shared" si="14"/>
        <v>506150</v>
      </c>
      <c r="J29" s="627">
        <f t="shared" si="14"/>
        <v>499065</v>
      </c>
      <c r="K29" s="627">
        <f t="shared" si="14"/>
        <v>498613</v>
      </c>
      <c r="L29" s="627">
        <f t="shared" si="14"/>
        <v>490396</v>
      </c>
      <c r="M29" s="627">
        <f t="shared" si="14"/>
        <v>489171</v>
      </c>
      <c r="N29" s="627">
        <f t="shared" si="14"/>
        <v>480373</v>
      </c>
      <c r="O29" s="627">
        <f t="shared" si="14"/>
        <v>473305</v>
      </c>
      <c r="P29" s="627">
        <f t="shared" si="14"/>
        <v>464297</v>
      </c>
      <c r="Q29" s="628">
        <f t="shared" si="12"/>
        <v>-1.9032063685516909</v>
      </c>
      <c r="R29" s="628">
        <f t="shared" si="13"/>
        <v>-1.0559066353051927</v>
      </c>
      <c r="S29" s="601"/>
      <c r="T29" s="99"/>
      <c r="U29" s="100"/>
      <c r="V29" s="101" t="s">
        <v>491</v>
      </c>
      <c r="W29" s="102">
        <v>516294632</v>
      </c>
      <c r="X29" s="102">
        <v>507954232</v>
      </c>
      <c r="Y29" s="102">
        <v>508210412</v>
      </c>
      <c r="Z29" s="102">
        <v>506150322</v>
      </c>
      <c r="AA29" s="102">
        <v>499065482</v>
      </c>
      <c r="AB29" s="102">
        <v>498613482</v>
      </c>
      <c r="AC29" s="102">
        <v>490396428</v>
      </c>
      <c r="AD29" s="102">
        <v>489171828</v>
      </c>
      <c r="AE29" s="102">
        <v>480373990</v>
      </c>
      <c r="AF29" s="103">
        <v>473305478</v>
      </c>
      <c r="AG29" s="104">
        <v>464297498</v>
      </c>
      <c r="AH29" s="106">
        <f t="shared" ref="AH29:AH35" si="15">(AG29/AF29-1)*100</f>
        <v>-1.9032063685516909</v>
      </c>
      <c r="AI29" s="106">
        <f>((AG29/W29)^(1/10)-1)*100</f>
        <v>-1.0559066353051927</v>
      </c>
      <c r="AJ29" s="98"/>
    </row>
    <row r="30" spans="1:36">
      <c r="A30" s="494"/>
      <c r="B30" s="493"/>
      <c r="C30" s="2176" t="s">
        <v>1209</v>
      </c>
      <c r="D30" s="2177"/>
      <c r="E30" s="2177"/>
      <c r="F30" s="645">
        <f t="shared" ref="F30:P30" si="16">IF(W30="-","-",ROUNDDOWN(W30,-3)/1000)</f>
        <v>110205</v>
      </c>
      <c r="G30" s="645">
        <f t="shared" si="16"/>
        <v>118545</v>
      </c>
      <c r="H30" s="645">
        <f t="shared" si="16"/>
        <v>118289</v>
      </c>
      <c r="I30" s="645">
        <f t="shared" si="16"/>
        <v>120349</v>
      </c>
      <c r="J30" s="645">
        <f t="shared" si="16"/>
        <v>127434</v>
      </c>
      <c r="K30" s="645">
        <f t="shared" si="16"/>
        <v>127886</v>
      </c>
      <c r="L30" s="645">
        <f t="shared" si="16"/>
        <v>136103</v>
      </c>
      <c r="M30" s="645">
        <f t="shared" si="16"/>
        <v>24828</v>
      </c>
      <c r="N30" s="645">
        <f t="shared" si="16"/>
        <v>33626</v>
      </c>
      <c r="O30" s="645">
        <f t="shared" si="16"/>
        <v>40694</v>
      </c>
      <c r="P30" s="645">
        <f t="shared" si="16"/>
        <v>9702</v>
      </c>
      <c r="Q30" s="629">
        <f t="shared" si="12"/>
        <v>-76.157719704878218</v>
      </c>
      <c r="R30" s="640">
        <f t="shared" si="13"/>
        <v>-21.572549160530631</v>
      </c>
      <c r="S30" s="601"/>
      <c r="T30" s="99"/>
      <c r="U30" s="100"/>
      <c r="V30" s="101" t="s">
        <v>492</v>
      </c>
      <c r="W30" s="137">
        <v>110205368</v>
      </c>
      <c r="X30" s="102">
        <v>118545768</v>
      </c>
      <c r="Y30" s="102">
        <v>118289588</v>
      </c>
      <c r="Z30" s="102">
        <v>120349678</v>
      </c>
      <c r="AA30" s="102">
        <v>127434518</v>
      </c>
      <c r="AB30" s="102">
        <v>127886518</v>
      </c>
      <c r="AC30" s="102">
        <v>136103572</v>
      </c>
      <c r="AD30" s="102">
        <v>24828172</v>
      </c>
      <c r="AE30" s="102">
        <v>33626010</v>
      </c>
      <c r="AF30" s="103">
        <v>40694522</v>
      </c>
      <c r="AG30" s="104">
        <v>9702502</v>
      </c>
      <c r="AH30" s="106">
        <f t="shared" si="15"/>
        <v>-76.157719704878218</v>
      </c>
      <c r="AI30" s="125">
        <f>IF(W30="-","-",((AG30/W30)^(1/10)-1)*100)</f>
        <v>-21.572549160530631</v>
      </c>
      <c r="AJ30" s="114"/>
    </row>
    <row r="31" spans="1:36">
      <c r="A31" s="494"/>
      <c r="B31" s="494"/>
      <c r="C31" s="2180" t="s">
        <v>1210</v>
      </c>
      <c r="D31" s="2181"/>
      <c r="E31" s="2181"/>
      <c r="F31" s="627">
        <f t="shared" ref="F31:P35" si="17">W31</f>
        <v>46850</v>
      </c>
      <c r="G31" s="627">
        <f t="shared" si="17"/>
        <v>47111</v>
      </c>
      <c r="H31" s="627">
        <f t="shared" si="17"/>
        <v>47362</v>
      </c>
      <c r="I31" s="627">
        <f t="shared" si="17"/>
        <v>48723</v>
      </c>
      <c r="J31" s="627">
        <f t="shared" si="17"/>
        <v>48182</v>
      </c>
      <c r="K31" s="627">
        <f t="shared" si="17"/>
        <v>48058</v>
      </c>
      <c r="L31" s="627">
        <f t="shared" si="17"/>
        <v>48362</v>
      </c>
      <c r="M31" s="627">
        <f t="shared" si="17"/>
        <v>48490</v>
      </c>
      <c r="N31" s="627">
        <f t="shared" si="17"/>
        <v>48123</v>
      </c>
      <c r="O31" s="627">
        <f t="shared" si="17"/>
        <v>48160</v>
      </c>
      <c r="P31" s="627">
        <f t="shared" si="17"/>
        <v>49176</v>
      </c>
      <c r="Q31" s="628">
        <f t="shared" si="12"/>
        <v>2.109634551495021</v>
      </c>
      <c r="R31" s="628">
        <f t="shared" si="13"/>
        <v>0.48572273611608985</v>
      </c>
      <c r="S31" s="601"/>
      <c r="T31" s="99"/>
      <c r="U31" s="100"/>
      <c r="V31" s="4" t="s">
        <v>493</v>
      </c>
      <c r="W31" s="102">
        <v>46850</v>
      </c>
      <c r="X31" s="102">
        <v>47111</v>
      </c>
      <c r="Y31" s="102">
        <v>47362</v>
      </c>
      <c r="Z31" s="102">
        <v>48723</v>
      </c>
      <c r="AA31" s="102">
        <v>48182</v>
      </c>
      <c r="AB31" s="102">
        <v>48058</v>
      </c>
      <c r="AC31" s="102">
        <v>48362</v>
      </c>
      <c r="AD31" s="102">
        <v>48490</v>
      </c>
      <c r="AE31" s="102">
        <v>48123</v>
      </c>
      <c r="AF31" s="103">
        <v>48160</v>
      </c>
      <c r="AG31" s="104">
        <v>49176</v>
      </c>
      <c r="AH31" s="106">
        <f t="shared" si="15"/>
        <v>2.109634551495021</v>
      </c>
      <c r="AI31" s="106">
        <f>((AG31/W31)^(1/10)-1)*100</f>
        <v>0.48572273611608985</v>
      </c>
      <c r="AJ31" s="98"/>
    </row>
    <row r="32" spans="1:36">
      <c r="A32" s="494"/>
      <c r="B32" s="493"/>
      <c r="C32" s="2182" t="s">
        <v>1458</v>
      </c>
      <c r="D32" s="2177"/>
      <c r="E32" s="2177"/>
      <c r="F32" s="625">
        <f t="shared" si="17"/>
        <v>29512</v>
      </c>
      <c r="G32" s="625">
        <f t="shared" si="17"/>
        <v>29966</v>
      </c>
      <c r="H32" s="625">
        <f t="shared" si="17"/>
        <v>30337</v>
      </c>
      <c r="I32" s="625">
        <f t="shared" si="17"/>
        <v>31639</v>
      </c>
      <c r="J32" s="625">
        <f t="shared" si="17"/>
        <v>31998</v>
      </c>
      <c r="K32" s="625">
        <f t="shared" si="17"/>
        <v>32538</v>
      </c>
      <c r="L32" s="625">
        <f t="shared" si="17"/>
        <v>33359</v>
      </c>
      <c r="M32" s="625">
        <f t="shared" si="17"/>
        <v>33934</v>
      </c>
      <c r="N32" s="625">
        <f t="shared" si="17"/>
        <v>34367</v>
      </c>
      <c r="O32" s="625">
        <f t="shared" si="17"/>
        <v>35148</v>
      </c>
      <c r="P32" s="625">
        <f t="shared" si="17"/>
        <v>36279</v>
      </c>
      <c r="Q32" s="629">
        <f t="shared" si="12"/>
        <v>3.2178217821782207</v>
      </c>
      <c r="R32" s="629">
        <f t="shared" si="13"/>
        <v>2.0858775792728546</v>
      </c>
      <c r="S32" s="601"/>
      <c r="T32" s="99"/>
      <c r="U32" s="100"/>
      <c r="V32" s="4" t="s">
        <v>1439</v>
      </c>
      <c r="W32" s="102">
        <v>29512</v>
      </c>
      <c r="X32" s="102">
        <v>29966</v>
      </c>
      <c r="Y32" s="102">
        <v>30337</v>
      </c>
      <c r="Z32" s="102">
        <v>31639</v>
      </c>
      <c r="AA32" s="102">
        <v>31998</v>
      </c>
      <c r="AB32" s="102">
        <v>32538</v>
      </c>
      <c r="AC32" s="102">
        <v>33359</v>
      </c>
      <c r="AD32" s="102">
        <v>33934</v>
      </c>
      <c r="AE32" s="102">
        <v>34367</v>
      </c>
      <c r="AF32" s="103">
        <v>35148</v>
      </c>
      <c r="AG32" s="104">
        <v>36279</v>
      </c>
      <c r="AH32" s="106">
        <f t="shared" si="15"/>
        <v>3.2178217821782207</v>
      </c>
      <c r="AI32" s="106">
        <f>((AG32/W32)^(1/10)-1)*100</f>
        <v>2.0858775792728546</v>
      </c>
      <c r="AJ32" s="98"/>
    </row>
    <row r="33" spans="1:36">
      <c r="A33" s="494"/>
      <c r="B33" s="494"/>
      <c r="C33" s="2183" t="s">
        <v>1437</v>
      </c>
      <c r="D33" s="2181"/>
      <c r="E33" s="2181"/>
      <c r="F33" s="627">
        <f t="shared" si="17"/>
        <v>3101</v>
      </c>
      <c r="G33" s="627">
        <f t="shared" si="17"/>
        <v>2894</v>
      </c>
      <c r="H33" s="627">
        <f t="shared" si="17"/>
        <v>2623</v>
      </c>
      <c r="I33" s="627">
        <f t="shared" si="17"/>
        <v>2468</v>
      </c>
      <c r="J33" s="627">
        <f t="shared" si="17"/>
        <v>2342</v>
      </c>
      <c r="K33" s="627">
        <f t="shared" si="17"/>
        <v>2197</v>
      </c>
      <c r="L33" s="627">
        <f t="shared" si="17"/>
        <v>2081</v>
      </c>
      <c r="M33" s="627">
        <f t="shared" si="17"/>
        <v>1981</v>
      </c>
      <c r="N33" s="627">
        <f t="shared" si="17"/>
        <v>1774</v>
      </c>
      <c r="O33" s="627">
        <f t="shared" si="17"/>
        <v>1964</v>
      </c>
      <c r="P33" s="627">
        <f t="shared" si="17"/>
        <v>1946</v>
      </c>
      <c r="Q33" s="628">
        <f t="shared" si="12"/>
        <v>-0.9164969450101812</v>
      </c>
      <c r="R33" s="628">
        <f t="shared" si="13"/>
        <v>-4.5525990508485386</v>
      </c>
      <c r="S33" s="601"/>
      <c r="T33" s="99"/>
      <c r="U33" s="100"/>
      <c r="V33" s="4" t="s">
        <v>1438</v>
      </c>
      <c r="W33" s="102">
        <v>3101</v>
      </c>
      <c r="X33" s="102">
        <v>2894</v>
      </c>
      <c r="Y33" s="102">
        <v>2623</v>
      </c>
      <c r="Z33" s="102">
        <v>2468</v>
      </c>
      <c r="AA33" s="102">
        <v>2342</v>
      </c>
      <c r="AB33" s="102">
        <v>2197</v>
      </c>
      <c r="AC33" s="102">
        <v>2081</v>
      </c>
      <c r="AD33" s="102">
        <v>1981</v>
      </c>
      <c r="AE33" s="102">
        <v>1774</v>
      </c>
      <c r="AF33" s="103">
        <v>1964</v>
      </c>
      <c r="AG33" s="104">
        <v>1946</v>
      </c>
      <c r="AH33" s="106">
        <f t="shared" si="15"/>
        <v>-0.9164969450101812</v>
      </c>
      <c r="AI33" s="106">
        <f>((AG33/W33)^(1/10)-1)*100</f>
        <v>-4.5525990508485386</v>
      </c>
      <c r="AJ33" s="98"/>
    </row>
    <row r="34" spans="1:36">
      <c r="A34" s="494"/>
      <c r="B34" s="493"/>
      <c r="C34" s="2176" t="s">
        <v>1211</v>
      </c>
      <c r="D34" s="2177"/>
      <c r="E34" s="2177"/>
      <c r="F34" s="625">
        <f t="shared" si="17"/>
        <v>17</v>
      </c>
      <c r="G34" s="625">
        <f t="shared" si="17"/>
        <v>17</v>
      </c>
      <c r="H34" s="625">
        <f t="shared" si="17"/>
        <v>19</v>
      </c>
      <c r="I34" s="625">
        <f t="shared" si="17"/>
        <v>19</v>
      </c>
      <c r="J34" s="625">
        <f t="shared" si="17"/>
        <v>19</v>
      </c>
      <c r="K34" s="625">
        <f t="shared" si="17"/>
        <v>19</v>
      </c>
      <c r="L34" s="625">
        <f t="shared" si="17"/>
        <v>19</v>
      </c>
      <c r="M34" s="625">
        <f t="shared" si="17"/>
        <v>19</v>
      </c>
      <c r="N34" s="625">
        <f t="shared" si="17"/>
        <v>19</v>
      </c>
      <c r="O34" s="625">
        <f t="shared" si="17"/>
        <v>19</v>
      </c>
      <c r="P34" s="625">
        <f t="shared" si="17"/>
        <v>19</v>
      </c>
      <c r="Q34" s="640">
        <f t="shared" si="12"/>
        <v>0</v>
      </c>
      <c r="R34" s="640">
        <f t="shared" si="13"/>
        <v>1.1184649191012808</v>
      </c>
      <c r="S34" s="601"/>
      <c r="T34" s="99"/>
      <c r="U34" s="100"/>
      <c r="V34" s="101" t="s">
        <v>494</v>
      </c>
      <c r="W34" s="102">
        <v>17</v>
      </c>
      <c r="X34" s="102">
        <v>17</v>
      </c>
      <c r="Y34" s="102">
        <v>19</v>
      </c>
      <c r="Z34" s="102">
        <v>19</v>
      </c>
      <c r="AA34" s="102">
        <v>19</v>
      </c>
      <c r="AB34" s="102">
        <v>19</v>
      </c>
      <c r="AC34" s="102">
        <v>19</v>
      </c>
      <c r="AD34" s="102">
        <v>19</v>
      </c>
      <c r="AE34" s="102">
        <v>19</v>
      </c>
      <c r="AF34" s="103">
        <v>19</v>
      </c>
      <c r="AG34" s="104">
        <v>19</v>
      </c>
      <c r="AH34" s="106">
        <f t="shared" si="15"/>
        <v>0</v>
      </c>
      <c r="AI34" s="106">
        <f>((AG34/W34)^(1/10)-1)*100</f>
        <v>1.1184649191012808</v>
      </c>
      <c r="AJ34" s="98"/>
    </row>
    <row r="35" spans="1:36" ht="15.75" thickBot="1">
      <c r="A35" s="494"/>
      <c r="B35" s="505"/>
      <c r="C35" s="2178" t="s">
        <v>1212</v>
      </c>
      <c r="D35" s="2179"/>
      <c r="E35" s="2179"/>
      <c r="F35" s="635">
        <f t="shared" si="17"/>
        <v>1252</v>
      </c>
      <c r="G35" s="635">
        <f t="shared" si="17"/>
        <v>1220</v>
      </c>
      <c r="H35" s="635">
        <f t="shared" si="17"/>
        <v>1369</v>
      </c>
      <c r="I35" s="635">
        <f t="shared" si="17"/>
        <v>1295</v>
      </c>
      <c r="J35" s="635">
        <f t="shared" si="17"/>
        <v>1260</v>
      </c>
      <c r="K35" s="635">
        <f t="shared" si="17"/>
        <v>1268</v>
      </c>
      <c r="L35" s="635">
        <f t="shared" si="17"/>
        <v>1263</v>
      </c>
      <c r="M35" s="635">
        <f t="shared" si="17"/>
        <v>1282</v>
      </c>
      <c r="N35" s="635">
        <f t="shared" si="17"/>
        <v>1320</v>
      </c>
      <c r="O35" s="635">
        <f t="shared" si="17"/>
        <v>1370</v>
      </c>
      <c r="P35" s="635">
        <f t="shared" si="17"/>
        <v>1421</v>
      </c>
      <c r="Q35" s="636">
        <f t="shared" si="12"/>
        <v>3.7226277372262695</v>
      </c>
      <c r="R35" s="636">
        <f t="shared" si="13"/>
        <v>1.2742358367296536</v>
      </c>
      <c r="S35" s="601"/>
      <c r="T35" s="99"/>
      <c r="U35" s="107"/>
      <c r="V35" s="108" t="s">
        <v>495</v>
      </c>
      <c r="W35" s="109">
        <v>1252</v>
      </c>
      <c r="X35" s="109">
        <v>1220</v>
      </c>
      <c r="Y35" s="109">
        <v>1369</v>
      </c>
      <c r="Z35" s="109">
        <v>1295</v>
      </c>
      <c r="AA35" s="109">
        <v>1260</v>
      </c>
      <c r="AB35" s="109">
        <v>1268</v>
      </c>
      <c r="AC35" s="109">
        <v>1263</v>
      </c>
      <c r="AD35" s="109">
        <v>1282</v>
      </c>
      <c r="AE35" s="109">
        <v>1320</v>
      </c>
      <c r="AF35" s="110">
        <v>1370</v>
      </c>
      <c r="AG35" s="138">
        <v>1421</v>
      </c>
      <c r="AH35" s="139">
        <f t="shared" si="15"/>
        <v>3.7226277372262695</v>
      </c>
      <c r="AI35" s="139">
        <f>((AG35/W35)^(1/10)-1)*100</f>
        <v>1.2742358367296536</v>
      </c>
      <c r="AJ35" s="98"/>
    </row>
    <row r="36" spans="1:36" s="140" customFormat="1" ht="9.9499999999999993" customHeight="1">
      <c r="A36" s="602"/>
      <c r="B36" s="1507"/>
      <c r="C36" s="499"/>
      <c r="D36" s="599"/>
      <c r="E36" s="602"/>
      <c r="F36" s="599"/>
      <c r="G36" s="599"/>
      <c r="H36" s="494"/>
      <c r="I36" s="602"/>
      <c r="J36" s="494"/>
      <c r="K36" s="494"/>
      <c r="L36" s="494"/>
      <c r="M36" s="494"/>
      <c r="N36" s="494"/>
      <c r="O36" s="494"/>
      <c r="P36" s="494"/>
      <c r="Q36" s="494"/>
      <c r="R36" s="494"/>
      <c r="S36" s="602"/>
      <c r="AG36" s="141"/>
    </row>
    <row r="37" spans="1:36" s="140" customFormat="1" ht="9.9499999999999993" customHeight="1">
      <c r="A37" s="602"/>
      <c r="B37" s="1507"/>
      <c r="C37" s="498"/>
      <c r="D37" s="603"/>
      <c r="E37" s="603"/>
      <c r="F37" s="603"/>
      <c r="G37" s="603"/>
      <c r="H37" s="602"/>
      <c r="I37" s="603"/>
      <c r="J37" s="602"/>
      <c r="K37" s="602"/>
      <c r="L37" s="602"/>
      <c r="M37" s="602"/>
      <c r="N37" s="602"/>
      <c r="O37" s="602"/>
      <c r="P37" s="602"/>
      <c r="Q37" s="602"/>
      <c r="R37" s="602"/>
      <c r="S37" s="602"/>
    </row>
    <row r="38" spans="1:36" ht="15" customHeight="1">
      <c r="A38" s="494"/>
      <c r="B38" s="602"/>
      <c r="C38" s="604"/>
      <c r="D38" s="602"/>
      <c r="E38" s="604"/>
      <c r="F38" s="604"/>
      <c r="G38" s="604"/>
      <c r="H38" s="602"/>
      <c r="I38" s="602"/>
      <c r="J38" s="602"/>
      <c r="K38" s="602"/>
      <c r="L38" s="602"/>
      <c r="M38" s="602"/>
      <c r="N38" s="602"/>
      <c r="O38" s="602"/>
      <c r="P38" s="602"/>
      <c r="Q38" s="602"/>
      <c r="R38" s="602"/>
      <c r="S38" s="494"/>
    </row>
    <row r="39" spans="1:36" ht="9.75" customHeight="1">
      <c r="A39" s="494"/>
      <c r="B39" s="499"/>
      <c r="C39" s="596"/>
      <c r="D39" s="494"/>
      <c r="E39" s="596"/>
      <c r="F39" s="596"/>
      <c r="G39" s="596"/>
      <c r="H39" s="494"/>
      <c r="I39" s="494"/>
      <c r="J39" s="494"/>
      <c r="K39" s="494"/>
      <c r="L39" s="494"/>
      <c r="M39" s="494"/>
      <c r="N39" s="494"/>
      <c r="O39" s="494"/>
      <c r="P39" s="494"/>
      <c r="Q39" s="494"/>
      <c r="R39" s="494"/>
      <c r="S39" s="494"/>
    </row>
    <row r="40" spans="1:36" ht="9.75" customHeight="1">
      <c r="A40" s="494"/>
      <c r="B40" s="1507"/>
      <c r="C40" s="596"/>
      <c r="D40" s="494"/>
      <c r="E40" s="596"/>
      <c r="F40" s="596"/>
      <c r="G40" s="596"/>
      <c r="H40" s="494"/>
      <c r="I40" s="494"/>
      <c r="J40" s="494"/>
      <c r="K40" s="494"/>
      <c r="L40" s="494"/>
      <c r="M40" s="494"/>
      <c r="N40" s="494"/>
      <c r="O40" s="494"/>
      <c r="P40" s="494"/>
      <c r="Q40" s="494"/>
      <c r="R40" s="494"/>
      <c r="S40" s="494"/>
    </row>
    <row r="41" spans="1:36" ht="19.5" customHeight="1">
      <c r="A41" s="494"/>
      <c r="B41" s="494"/>
      <c r="C41" s="596"/>
      <c r="D41" s="494"/>
      <c r="E41" s="596"/>
      <c r="F41" s="596"/>
      <c r="G41" s="596"/>
      <c r="H41" s="494"/>
      <c r="I41" s="494"/>
      <c r="J41" s="494"/>
      <c r="K41" s="494"/>
      <c r="L41" s="494"/>
      <c r="M41" s="494"/>
      <c r="N41" s="494"/>
      <c r="O41" s="494"/>
      <c r="P41" s="494"/>
      <c r="Q41" s="494"/>
      <c r="R41" s="494"/>
      <c r="S41" s="494"/>
    </row>
    <row r="42" spans="1:36" ht="15" customHeight="1">
      <c r="A42" s="494"/>
      <c r="B42" s="494"/>
      <c r="C42" s="596"/>
      <c r="D42" s="494"/>
      <c r="E42" s="596"/>
      <c r="F42" s="596"/>
      <c r="G42" s="596"/>
      <c r="H42" s="494"/>
      <c r="I42" s="494"/>
      <c r="J42" s="494"/>
      <c r="K42" s="494"/>
      <c r="L42" s="494"/>
      <c r="M42" s="494"/>
      <c r="N42" s="494"/>
      <c r="O42" s="494"/>
      <c r="P42" s="494"/>
      <c r="Q42" s="494"/>
      <c r="R42" s="494"/>
      <c r="S42" s="494"/>
    </row>
    <row r="43" spans="1:36" ht="15" customHeight="1">
      <c r="U43" s="140" t="s">
        <v>292</v>
      </c>
    </row>
    <row r="44" spans="1:36" ht="15" customHeight="1">
      <c r="U44" s="140" t="s">
        <v>496</v>
      </c>
    </row>
    <row r="45" spans="1:36" ht="15" customHeight="1">
      <c r="U45" s="140" t="s">
        <v>497</v>
      </c>
    </row>
    <row r="46" spans="1:36" ht="15" customHeight="1">
      <c r="U46" s="140" t="s">
        <v>498</v>
      </c>
    </row>
    <row r="47" spans="1:36" ht="15" customHeight="1">
      <c r="U47" s="140" t="s">
        <v>499</v>
      </c>
    </row>
    <row r="48" spans="1:36" ht="15" customHeight="1">
      <c r="U48" s="140" t="s">
        <v>500</v>
      </c>
    </row>
    <row r="49" spans="21:33" ht="15" customHeight="1">
      <c r="U49" s="140" t="s">
        <v>501</v>
      </c>
    </row>
    <row r="50" spans="21:33" ht="15" customHeight="1">
      <c r="U50" s="140" t="s">
        <v>502</v>
      </c>
      <c r="W50" s="1997">
        <v>2014.3</v>
      </c>
      <c r="X50" s="1997" t="s">
        <v>1459</v>
      </c>
      <c r="Y50" s="1997" t="s">
        <v>1460</v>
      </c>
      <c r="Z50" s="1997" t="s">
        <v>1461</v>
      </c>
      <c r="AA50" s="1997" t="s">
        <v>1462</v>
      </c>
      <c r="AB50" s="1997" t="s">
        <v>1463</v>
      </c>
      <c r="AC50" s="1997" t="s">
        <v>1464</v>
      </c>
      <c r="AD50" s="1997" t="s">
        <v>1465</v>
      </c>
      <c r="AE50" s="1997" t="s">
        <v>1466</v>
      </c>
      <c r="AF50" s="1997" t="s">
        <v>1467</v>
      </c>
    </row>
    <row r="51" spans="21:33" ht="15" customHeight="1">
      <c r="W51" s="1998">
        <v>77.292000000000002</v>
      </c>
      <c r="X51" s="1998">
        <v>83.79</v>
      </c>
      <c r="Y51" s="1998">
        <v>86.92</v>
      </c>
      <c r="Z51" s="1998">
        <v>90.02</v>
      </c>
      <c r="AA51" s="1998">
        <v>95.59</v>
      </c>
      <c r="AB51" s="1998">
        <v>100.54</v>
      </c>
      <c r="AC51" s="1998">
        <v>82.44</v>
      </c>
      <c r="AD51" s="1998">
        <v>16.13</v>
      </c>
      <c r="AE51" s="1998">
        <v>119.8</v>
      </c>
      <c r="AF51" s="1998">
        <v>122.69</v>
      </c>
      <c r="AG51" s="83" t="s">
        <v>1471</v>
      </c>
    </row>
    <row r="52" spans="21:33" ht="15" customHeight="1">
      <c r="W52" s="1998">
        <v>34.700000000000003</v>
      </c>
      <c r="X52" s="1998">
        <v>37.700000000000003</v>
      </c>
      <c r="Y52" s="1998">
        <v>40.799999999999997</v>
      </c>
      <c r="Z52" s="1998">
        <v>46.4</v>
      </c>
      <c r="AA52" s="1998">
        <v>47.8</v>
      </c>
      <c r="AB52" s="1998">
        <v>50.4</v>
      </c>
      <c r="AC52" s="1998">
        <v>55.4</v>
      </c>
      <c r="AD52" s="1998">
        <v>55.5</v>
      </c>
      <c r="AE52" s="1998">
        <v>66.2</v>
      </c>
      <c r="AF52" s="1998">
        <v>67.5</v>
      </c>
      <c r="AG52" s="83" t="s">
        <v>1470</v>
      </c>
    </row>
    <row r="53" spans="21:33" ht="15" customHeight="1">
      <c r="V53" s="83" t="s">
        <v>1468</v>
      </c>
      <c r="W53" s="83">
        <v>258421434</v>
      </c>
      <c r="X53" s="83">
        <v>258558765</v>
      </c>
      <c r="Y53" s="83">
        <v>258147316</v>
      </c>
      <c r="Z53" s="83">
        <v>253977116</v>
      </c>
      <c r="AA53" s="83">
        <v>254105206</v>
      </c>
      <c r="AB53" s="83">
        <v>253075161</v>
      </c>
      <c r="AC53" s="83">
        <v>249532741</v>
      </c>
      <c r="AD53" s="83">
        <v>249306741</v>
      </c>
      <c r="AE53" s="83">
        <v>245198214</v>
      </c>
      <c r="AF53" s="83">
        <v>244585914</v>
      </c>
      <c r="AG53" s="83" t="s">
        <v>1469</v>
      </c>
    </row>
    <row r="54" spans="21:33" ht="15" customHeight="1">
      <c r="W54" s="83">
        <v>54828566</v>
      </c>
      <c r="X54" s="83">
        <v>54691235</v>
      </c>
      <c r="Y54" s="83">
        <v>55102684</v>
      </c>
      <c r="Z54" s="83">
        <v>59272884</v>
      </c>
      <c r="AA54" s="83">
        <v>59144794</v>
      </c>
      <c r="AB54" s="83">
        <v>60174839</v>
      </c>
      <c r="AC54" s="83">
        <v>63717259</v>
      </c>
      <c r="AD54" s="83">
        <v>63943259</v>
      </c>
      <c r="AE54" s="83">
        <v>68051786</v>
      </c>
      <c r="AF54" s="83">
        <v>12414086</v>
      </c>
      <c r="AG54" s="83" t="s">
        <v>1469</v>
      </c>
    </row>
    <row r="55" spans="21:33" ht="15" customHeight="1">
      <c r="V55" s="83" t="s">
        <v>482</v>
      </c>
    </row>
    <row r="56" spans="21:33" ht="15" customHeight="1">
      <c r="V56" s="83" t="s">
        <v>483</v>
      </c>
    </row>
    <row r="57" spans="21:33" ht="15" customHeight="1">
      <c r="V57" s="83" t="s">
        <v>491</v>
      </c>
    </row>
    <row r="58" spans="21:33" ht="15" customHeight="1">
      <c r="V58" s="83" t="s">
        <v>492</v>
      </c>
    </row>
    <row r="61" spans="21:33" ht="15" customHeight="1">
      <c r="V61" s="83" t="s">
        <v>1724</v>
      </c>
    </row>
    <row r="62" spans="21:33" ht="15" customHeight="1">
      <c r="V62" s="499" t="s">
        <v>1492</v>
      </c>
    </row>
    <row r="63" spans="21:33" ht="15" customHeight="1">
      <c r="V63" s="1507" t="s">
        <v>1491</v>
      </c>
    </row>
  </sheetData>
  <sheetProtection algorithmName="SHA-512" hashValue="jrNZPmP/A7iwEiJDIzQOT/80asB8ZtXEz0KZgp3C5O+jv+Lm2NM+jnUsRkrW4oXD6U/wobk1rR61jCsF+ytW3g==" saltValue="2bmTc8cl94BwZvFGADbNEg==" spinCount="100000" sheet="1" objects="1" scenarios="1"/>
  <customSheetViews>
    <customSheetView guid="{06451E13-97D0-44F4-875B-E8D80B2F1CF1}" showPageBreaks="1" fitToPage="1" printArea="1" view="pageBreakPreview" topLeftCell="T1">
      <selection activeCell="T17" sqref="T17"/>
      <pageMargins left="0" right="0" top="0" bottom="0" header="0" footer="0"/>
      <printOptions horizontalCentered="1" verticalCentered="1"/>
      <pageSetup paperSize="9" scale="78" orientation="landscape" r:id="rId1"/>
      <headerFooter scaleWithDoc="0" alignWithMargins="0">
        <oddFooter>&amp;C&amp;"Arial,標準"&amp;12 1</oddFooter>
      </headerFooter>
    </customSheetView>
  </customSheetViews>
  <mergeCells count="44">
    <mergeCell ref="I5:I6"/>
    <mergeCell ref="B5:C6"/>
    <mergeCell ref="D5:E6"/>
    <mergeCell ref="F5:F6"/>
    <mergeCell ref="G5:G6"/>
    <mergeCell ref="H5:H6"/>
    <mergeCell ref="X5:X6"/>
    <mergeCell ref="Y5:Y6"/>
    <mergeCell ref="Z5:Z6"/>
    <mergeCell ref="J5:J6"/>
    <mergeCell ref="K5:K6"/>
    <mergeCell ref="L5:L6"/>
    <mergeCell ref="M5:M6"/>
    <mergeCell ref="N5:N6"/>
    <mergeCell ref="O5:O6"/>
    <mergeCell ref="C27:E27"/>
    <mergeCell ref="AG5:AG6"/>
    <mergeCell ref="B7:E7"/>
    <mergeCell ref="C8:E8"/>
    <mergeCell ref="C9:E9"/>
    <mergeCell ref="C10:E10"/>
    <mergeCell ref="C11:E11"/>
    <mergeCell ref="AA5:AA6"/>
    <mergeCell ref="AB5:AB6"/>
    <mergeCell ref="AC5:AC6"/>
    <mergeCell ref="AD5:AD6"/>
    <mergeCell ref="AE5:AE6"/>
    <mergeCell ref="AF5:AF6"/>
    <mergeCell ref="P5:P6"/>
    <mergeCell ref="U5:V6"/>
    <mergeCell ref="W5:W6"/>
    <mergeCell ref="C12:E12"/>
    <mergeCell ref="B13:E13"/>
    <mergeCell ref="C24:E24"/>
    <mergeCell ref="C25:E25"/>
    <mergeCell ref="C26:E26"/>
    <mergeCell ref="C34:E34"/>
    <mergeCell ref="C35:E35"/>
    <mergeCell ref="C28:E28"/>
    <mergeCell ref="C29:E29"/>
    <mergeCell ref="C30:E30"/>
    <mergeCell ref="C31:E31"/>
    <mergeCell ref="C32:E32"/>
    <mergeCell ref="C33:E33"/>
  </mergeCells>
  <phoneticPr fontId="29"/>
  <printOptions horizontalCentered="1" verticalCentered="1"/>
  <pageMargins left="0" right="0" top="0" bottom="0" header="0" footer="0"/>
  <pageSetup paperSize="9" scale="82" orientation="landscape" r:id="rId2"/>
  <headerFooter scaleWithDoc="0" alignWithMargins="0">
    <oddFooter>&amp;C&amp;"Arial,標準"&amp;12 1</oddFooter>
  </headerFooter>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Y47"/>
  <sheetViews>
    <sheetView view="pageBreakPreview" zoomScale="85" zoomScaleNormal="100" zoomScaleSheetLayoutView="85" workbookViewId="0">
      <selection activeCell="M46" sqref="M46"/>
    </sheetView>
  </sheetViews>
  <sheetFormatPr defaultColWidth="9.140625" defaultRowHeight="12" outlineLevelCol="1"/>
  <cols>
    <col min="1" max="1" width="7.7109375" style="8" customWidth="1"/>
    <col min="2" max="2" width="15.85546875" style="8" customWidth="1"/>
    <col min="3" max="3" width="6.85546875" style="8" customWidth="1"/>
    <col min="4" max="4" width="8" style="8" customWidth="1"/>
    <col min="5" max="16" width="7.5703125" style="8" customWidth="1"/>
    <col min="17" max="17" width="11.5703125" style="8" customWidth="1"/>
    <col min="18" max="18" width="4.140625" style="8" hidden="1" customWidth="1"/>
    <col min="19" max="19" width="14.140625" style="8" hidden="1" customWidth="1"/>
    <col min="20" max="20" width="7.5703125" style="8" hidden="1" customWidth="1"/>
    <col min="21" max="21" width="7.85546875" style="8" hidden="1" customWidth="1" outlineLevel="1"/>
    <col min="22" max="32" width="7.85546875" style="8" hidden="1" customWidth="1"/>
    <col min="33" max="33" width="11.5703125" style="8" hidden="1" customWidth="1"/>
    <col min="34" max="51" width="9.140625" style="8" hidden="1" customWidth="1"/>
    <col min="52" max="52" width="9.140625" style="8" customWidth="1"/>
    <col min="53" max="16384" width="9.140625" style="8"/>
  </cols>
  <sheetData>
    <row r="1" spans="1:44" ht="17.25" customHeight="1">
      <c r="A1" s="581"/>
      <c r="B1" s="581"/>
      <c r="C1" s="581"/>
      <c r="D1" s="581"/>
      <c r="E1" s="581"/>
      <c r="F1" s="581"/>
      <c r="G1" s="581"/>
      <c r="H1" s="581"/>
      <c r="I1" s="581"/>
      <c r="J1" s="581"/>
      <c r="K1" s="581"/>
      <c r="L1" s="581"/>
      <c r="M1" s="581"/>
      <c r="N1" s="581"/>
      <c r="O1" s="581"/>
      <c r="P1" s="581"/>
      <c r="Q1" s="581"/>
    </row>
    <row r="2" spans="1:44" ht="40.5" customHeight="1">
      <c r="A2" s="581"/>
      <c r="B2" s="581"/>
      <c r="C2" s="581"/>
      <c r="D2" s="581"/>
      <c r="E2" s="581"/>
      <c r="F2" s="581"/>
      <c r="G2" s="581"/>
      <c r="H2" s="581"/>
      <c r="I2" s="581"/>
      <c r="J2" s="581"/>
      <c r="K2" s="581"/>
      <c r="L2" s="581"/>
      <c r="M2" s="581"/>
      <c r="N2" s="581"/>
      <c r="O2" s="581"/>
      <c r="P2" s="581"/>
      <c r="Q2" s="581"/>
    </row>
    <row r="3" spans="1:44" ht="14.25" customHeight="1">
      <c r="A3" s="605"/>
      <c r="B3" s="597"/>
      <c r="C3" s="597"/>
      <c r="D3" s="597"/>
      <c r="E3" s="581"/>
      <c r="F3" s="581"/>
      <c r="G3" s="581"/>
      <c r="H3" s="581"/>
      <c r="I3" s="581"/>
      <c r="J3" s="581"/>
      <c r="K3" s="581"/>
      <c r="L3" s="581"/>
      <c r="M3" s="581"/>
      <c r="N3" s="581"/>
      <c r="O3" s="581"/>
      <c r="P3" s="581"/>
      <c r="Q3" s="581"/>
    </row>
    <row r="4" spans="1:44" ht="15" customHeight="1">
      <c r="A4" s="581"/>
      <c r="B4" s="581"/>
      <c r="C4" s="581"/>
      <c r="D4" s="581"/>
      <c r="E4" s="581"/>
      <c r="F4" s="581"/>
      <c r="G4" s="581"/>
      <c r="H4" s="581"/>
      <c r="I4" s="581"/>
      <c r="J4" s="581"/>
      <c r="K4" s="581"/>
      <c r="L4" s="581"/>
      <c r="M4" s="581"/>
      <c r="N4" s="581"/>
      <c r="O4" s="581"/>
      <c r="P4" s="581"/>
      <c r="Q4" s="581"/>
    </row>
    <row r="5" spans="1:44" ht="12.75" customHeight="1" thickBot="1">
      <c r="A5" s="581"/>
      <c r="B5" s="581"/>
      <c r="C5" s="581"/>
      <c r="D5" s="581"/>
      <c r="E5" s="606"/>
      <c r="F5" s="606"/>
      <c r="G5" s="606"/>
      <c r="H5" s="606"/>
      <c r="I5" s="606"/>
      <c r="J5" s="606"/>
      <c r="K5" s="606"/>
      <c r="L5" s="606"/>
      <c r="M5" s="606"/>
      <c r="N5" s="607"/>
      <c r="O5" s="581"/>
      <c r="P5" s="35" t="s">
        <v>549</v>
      </c>
      <c r="Q5" s="581"/>
      <c r="R5" s="9"/>
      <c r="S5" s="11" t="s">
        <v>40</v>
      </c>
      <c r="T5" s="12"/>
      <c r="U5" s="12"/>
      <c r="V5" s="12"/>
      <c r="W5" s="12"/>
      <c r="X5" s="13"/>
      <c r="Y5" s="13"/>
      <c r="Z5" s="13"/>
      <c r="AA5" s="13"/>
      <c r="AB5" s="13"/>
      <c r="AC5" s="13"/>
      <c r="AD5" s="13"/>
      <c r="AE5" s="13"/>
    </row>
    <row r="6" spans="1:44" ht="20.100000000000001" customHeight="1">
      <c r="A6" s="581"/>
      <c r="B6" s="2226"/>
      <c r="C6" s="2226"/>
      <c r="D6" s="2226"/>
      <c r="E6" s="2236">
        <f>V6</f>
        <v>2015</v>
      </c>
      <c r="F6" s="2238">
        <f t="shared" ref="F6:O6" si="0">W6</f>
        <v>2016</v>
      </c>
      <c r="G6" s="2238">
        <f t="shared" si="0"/>
        <v>2017</v>
      </c>
      <c r="H6" s="2238">
        <f t="shared" si="0"/>
        <v>2018</v>
      </c>
      <c r="I6" s="2238">
        <f t="shared" si="0"/>
        <v>2019</v>
      </c>
      <c r="J6" s="2238">
        <f t="shared" si="0"/>
        <v>2020</v>
      </c>
      <c r="K6" s="2238">
        <f t="shared" si="0"/>
        <v>2021</v>
      </c>
      <c r="L6" s="2238">
        <f t="shared" si="0"/>
        <v>2022</v>
      </c>
      <c r="M6" s="2238">
        <f t="shared" si="0"/>
        <v>2023</v>
      </c>
      <c r="N6" s="2238">
        <f t="shared" si="0"/>
        <v>2024</v>
      </c>
      <c r="O6" s="2240">
        <f t="shared" si="0"/>
        <v>2025</v>
      </c>
      <c r="P6" s="595" t="s">
        <v>510</v>
      </c>
      <c r="Q6" s="581"/>
      <c r="S6" s="2230"/>
      <c r="T6" s="2231"/>
      <c r="U6" s="2223">
        <v>2014</v>
      </c>
      <c r="V6" s="2220">
        <f>U6+1</f>
        <v>2015</v>
      </c>
      <c r="W6" s="2220">
        <f t="shared" ref="W6:AE6" si="1">V6+1</f>
        <v>2016</v>
      </c>
      <c r="X6" s="2220">
        <f t="shared" si="1"/>
        <v>2017</v>
      </c>
      <c r="Y6" s="2220">
        <f t="shared" si="1"/>
        <v>2018</v>
      </c>
      <c r="Z6" s="2220">
        <f t="shared" si="1"/>
        <v>2019</v>
      </c>
      <c r="AA6" s="2220">
        <f t="shared" si="1"/>
        <v>2020</v>
      </c>
      <c r="AB6" s="2220">
        <f t="shared" si="1"/>
        <v>2021</v>
      </c>
      <c r="AC6" s="2220">
        <f t="shared" si="1"/>
        <v>2022</v>
      </c>
      <c r="AD6" s="2220">
        <f t="shared" si="1"/>
        <v>2023</v>
      </c>
      <c r="AE6" s="2214">
        <f t="shared" si="1"/>
        <v>2024</v>
      </c>
      <c r="AF6" s="2217">
        <f>AE6+1</f>
        <v>2025</v>
      </c>
      <c r="AG6" s="3" t="s">
        <v>83</v>
      </c>
    </row>
    <row r="7" spans="1:44" ht="18" customHeight="1">
      <c r="A7" s="581"/>
      <c r="B7" s="608"/>
      <c r="C7" s="608"/>
      <c r="D7" s="608"/>
      <c r="E7" s="2237"/>
      <c r="F7" s="2239"/>
      <c r="G7" s="2239"/>
      <c r="H7" s="2239"/>
      <c r="I7" s="2239"/>
      <c r="J7" s="2239"/>
      <c r="K7" s="2239"/>
      <c r="L7" s="2239"/>
      <c r="M7" s="2239"/>
      <c r="N7" s="2239"/>
      <c r="O7" s="2241"/>
      <c r="P7" s="666" t="s">
        <v>509</v>
      </c>
      <c r="Q7" s="581"/>
      <c r="S7" s="2232"/>
      <c r="T7" s="2233"/>
      <c r="U7" s="2224"/>
      <c r="V7" s="2221"/>
      <c r="W7" s="2221"/>
      <c r="X7" s="2221"/>
      <c r="Y7" s="2221"/>
      <c r="Z7" s="2221"/>
      <c r="AA7" s="2221"/>
      <c r="AB7" s="2221"/>
      <c r="AC7" s="2221"/>
      <c r="AD7" s="2221"/>
      <c r="AE7" s="2215"/>
      <c r="AF7" s="2218"/>
      <c r="AG7" s="82"/>
    </row>
    <row r="8" spans="1:44" customFormat="1" ht="18" customHeight="1" thickBot="1">
      <c r="A8" s="581"/>
      <c r="B8" s="1542" t="s">
        <v>522</v>
      </c>
      <c r="C8" s="2227" t="s">
        <v>532</v>
      </c>
      <c r="D8" s="2227"/>
      <c r="E8" s="1543">
        <f t="shared" ref="E8:O10" si="2">ROUNDDOWN(V9/1000,0)</f>
        <v>3150</v>
      </c>
      <c r="F8" s="1543">
        <f t="shared" si="2"/>
        <v>3244</v>
      </c>
      <c r="G8" s="1543">
        <f t="shared" si="2"/>
        <v>3390</v>
      </c>
      <c r="H8" s="1543">
        <f t="shared" si="2"/>
        <v>3347</v>
      </c>
      <c r="I8" s="1543">
        <f t="shared" si="2"/>
        <v>3284</v>
      </c>
      <c r="J8" s="1543">
        <f t="shared" si="2"/>
        <v>2880</v>
      </c>
      <c r="K8" s="1543">
        <f t="shared" si="2"/>
        <v>2795</v>
      </c>
      <c r="L8" s="1543">
        <f t="shared" si="2"/>
        <v>2563</v>
      </c>
      <c r="M8" s="1543">
        <f t="shared" si="2"/>
        <v>3034</v>
      </c>
      <c r="N8" s="1543">
        <f t="shared" si="2"/>
        <v>2863</v>
      </c>
      <c r="O8" s="1543">
        <f t="shared" si="2"/>
        <v>2898</v>
      </c>
      <c r="P8" s="1544">
        <f t="shared" ref="P8:P15" si="3">AG9</f>
        <v>-0.8298985183612273</v>
      </c>
      <c r="Q8" s="581"/>
      <c r="S8" s="2234"/>
      <c r="T8" s="2235"/>
      <c r="U8" s="2225"/>
      <c r="V8" s="2222"/>
      <c r="W8" s="2222"/>
      <c r="X8" s="2222"/>
      <c r="Y8" s="2222"/>
      <c r="Z8" s="2222"/>
      <c r="AA8" s="2222"/>
      <c r="AB8" s="2222"/>
      <c r="AC8" s="2222"/>
      <c r="AD8" s="2222"/>
      <c r="AE8" s="2216"/>
      <c r="AF8" s="2219"/>
      <c r="AG8" s="71" t="s">
        <v>5</v>
      </c>
    </row>
    <row r="9" spans="1:44" ht="18" customHeight="1" thickTop="1">
      <c r="A9" s="581"/>
      <c r="B9" s="2245" t="s">
        <v>523</v>
      </c>
      <c r="C9" s="2228" t="s">
        <v>524</v>
      </c>
      <c r="D9" s="2228"/>
      <c r="E9" s="657">
        <f t="shared" si="2"/>
        <v>1896</v>
      </c>
      <c r="F9" s="657">
        <f t="shared" si="2"/>
        <v>1725</v>
      </c>
      <c r="G9" s="657">
        <f t="shared" si="2"/>
        <v>1843</v>
      </c>
      <c r="H9" s="657">
        <f t="shared" si="2"/>
        <v>1924</v>
      </c>
      <c r="I9" s="657">
        <f t="shared" si="2"/>
        <v>1910</v>
      </c>
      <c r="J9" s="657">
        <f t="shared" si="2"/>
        <v>1718</v>
      </c>
      <c r="K9" s="657">
        <f t="shared" si="2"/>
        <v>1652</v>
      </c>
      <c r="L9" s="657">
        <f t="shared" si="2"/>
        <v>1638</v>
      </c>
      <c r="M9" s="657">
        <f t="shared" si="2"/>
        <v>1744</v>
      </c>
      <c r="N9" s="657">
        <f t="shared" si="2"/>
        <v>1557</v>
      </c>
      <c r="O9" s="657">
        <f t="shared" si="2"/>
        <v>1667</v>
      </c>
      <c r="P9" s="658">
        <f t="shared" si="3"/>
        <v>-1.2789754985253365</v>
      </c>
      <c r="Q9" s="581"/>
      <c r="S9" s="28" t="s">
        <v>1035</v>
      </c>
      <c r="T9" s="28" t="s">
        <v>364</v>
      </c>
      <c r="U9" s="36">
        <v>3290098</v>
      </c>
      <c r="V9" s="36">
        <v>3150310</v>
      </c>
      <c r="W9" s="36">
        <v>3244798</v>
      </c>
      <c r="X9" s="36">
        <v>3390824</v>
      </c>
      <c r="Y9" s="36">
        <v>3347943</v>
      </c>
      <c r="Z9" s="36">
        <v>3284870</v>
      </c>
      <c r="AA9" s="36">
        <v>2880527</v>
      </c>
      <c r="AB9" s="36">
        <v>2795818</v>
      </c>
      <c r="AC9" s="37">
        <v>2563184</v>
      </c>
      <c r="AD9" s="36">
        <v>3034167</v>
      </c>
      <c r="AE9" s="37">
        <v>2863626</v>
      </c>
      <c r="AF9" s="38">
        <v>2898417</v>
      </c>
      <c r="AG9" s="39">
        <f>((AF9/V9)^(1/10)-1)*100</f>
        <v>-0.8298985183612273</v>
      </c>
      <c r="AI9" s="40"/>
      <c r="AJ9" s="40"/>
      <c r="AK9" s="40"/>
      <c r="AL9" s="40"/>
      <c r="AM9" s="40"/>
      <c r="AN9" s="40"/>
      <c r="AO9" s="40"/>
      <c r="AP9" s="40"/>
      <c r="AQ9" s="40"/>
    </row>
    <row r="10" spans="1:44" ht="18" customHeight="1">
      <c r="A10" s="581"/>
      <c r="B10" s="2245"/>
      <c r="C10" s="2229" t="s">
        <v>525</v>
      </c>
      <c r="D10" s="2229"/>
      <c r="E10" s="661">
        <f t="shared" si="2"/>
        <v>5046</v>
      </c>
      <c r="F10" s="661">
        <f t="shared" si="2"/>
        <v>4970</v>
      </c>
      <c r="G10" s="661">
        <f t="shared" si="2"/>
        <v>5234</v>
      </c>
      <c r="H10" s="661">
        <f t="shared" si="2"/>
        <v>5271</v>
      </c>
      <c r="I10" s="661">
        <f t="shared" si="2"/>
        <v>5195</v>
      </c>
      <c r="J10" s="661">
        <f t="shared" si="2"/>
        <v>4598</v>
      </c>
      <c r="K10" s="661">
        <f t="shared" si="2"/>
        <v>4448</v>
      </c>
      <c r="L10" s="661">
        <f t="shared" si="2"/>
        <v>4201</v>
      </c>
      <c r="M10" s="661">
        <f t="shared" si="2"/>
        <v>4778</v>
      </c>
      <c r="N10" s="661">
        <f t="shared" si="2"/>
        <v>4421</v>
      </c>
      <c r="O10" s="661">
        <f t="shared" si="2"/>
        <v>4565</v>
      </c>
      <c r="P10" s="662">
        <f t="shared" si="3"/>
        <v>-0.99648786166532943</v>
      </c>
      <c r="Q10" s="581"/>
      <c r="S10" s="15"/>
      <c r="T10" s="15" t="s">
        <v>2</v>
      </c>
      <c r="U10" s="41">
        <v>2272654</v>
      </c>
      <c r="V10" s="41">
        <v>1896101</v>
      </c>
      <c r="W10" s="41">
        <v>1725400</v>
      </c>
      <c r="X10" s="41">
        <v>1843273</v>
      </c>
      <c r="Y10" s="41">
        <v>1924044</v>
      </c>
      <c r="Z10" s="41">
        <v>1910264</v>
      </c>
      <c r="AA10" s="41">
        <v>1718000</v>
      </c>
      <c r="AB10" s="41">
        <v>1652470</v>
      </c>
      <c r="AC10" s="42">
        <v>1638078</v>
      </c>
      <c r="AD10" s="41">
        <v>1744694</v>
      </c>
      <c r="AE10" s="42">
        <v>1557608</v>
      </c>
      <c r="AF10" s="43">
        <v>1667086</v>
      </c>
      <c r="AG10" s="20">
        <f>((AF10/V10)^(1/10)-1)*100</f>
        <v>-1.2789754985253365</v>
      </c>
      <c r="AI10" s="8" t="s">
        <v>96</v>
      </c>
    </row>
    <row r="11" spans="1:44" ht="18" customHeight="1">
      <c r="A11" s="581"/>
      <c r="B11" s="663"/>
      <c r="C11" s="2246" t="s">
        <v>1710</v>
      </c>
      <c r="D11" s="2246"/>
      <c r="E11" s="659">
        <f>V12</f>
        <v>-9.2999999999999972</v>
      </c>
      <c r="F11" s="659">
        <f t="shared" ref="F11:N11" si="4">W12</f>
        <v>-1.5000000000000013</v>
      </c>
      <c r="G11" s="659">
        <f t="shared" si="4"/>
        <v>5.2999999999999936</v>
      </c>
      <c r="H11" s="659">
        <f t="shared" si="4"/>
        <v>0.69999999999998952</v>
      </c>
      <c r="I11" s="659">
        <f t="shared" si="4"/>
        <v>-1.5000000000000013</v>
      </c>
      <c r="J11" s="659">
        <f t="shared" si="4"/>
        <v>-11.5</v>
      </c>
      <c r="K11" s="659">
        <f t="shared" si="4"/>
        <v>-3.3000000000000029</v>
      </c>
      <c r="L11" s="659">
        <f t="shared" si="4"/>
        <v>-5.600000000000005</v>
      </c>
      <c r="M11" s="659">
        <f t="shared" si="4"/>
        <v>13.700000000000001</v>
      </c>
      <c r="N11" s="659">
        <f t="shared" si="4"/>
        <v>-7.4999999999999956</v>
      </c>
      <c r="O11" s="659">
        <f>AF12</f>
        <v>3.2999999999999918</v>
      </c>
      <c r="P11" s="660" t="str">
        <f t="shared" si="3"/>
        <v>-</v>
      </c>
      <c r="Q11" s="581"/>
      <c r="S11" s="21"/>
      <c r="T11" s="21" t="s">
        <v>330</v>
      </c>
      <c r="U11" s="44">
        <v>5562752</v>
      </c>
      <c r="V11" s="44">
        <v>5046411</v>
      </c>
      <c r="W11" s="44">
        <v>4970198</v>
      </c>
      <c r="X11" s="44">
        <v>5234095</v>
      </c>
      <c r="Y11" s="44">
        <v>5271987</v>
      </c>
      <c r="Z11" s="44">
        <v>5195134</v>
      </c>
      <c r="AA11" s="44">
        <v>4598527</v>
      </c>
      <c r="AB11" s="44">
        <v>4448288</v>
      </c>
      <c r="AC11" s="44">
        <v>4201262</v>
      </c>
      <c r="AD11" s="44">
        <v>4778861</v>
      </c>
      <c r="AE11" s="45">
        <v>4421234</v>
      </c>
      <c r="AF11" s="46">
        <v>4565503</v>
      </c>
      <c r="AG11" s="22">
        <f>((AF11/V11)^(1/10)-1)*100</f>
        <v>-0.99648786166532943</v>
      </c>
      <c r="AI11" s="40" t="s">
        <v>84</v>
      </c>
      <c r="AJ11" s="40" t="s">
        <v>85</v>
      </c>
      <c r="AK11" s="40" t="s">
        <v>86</v>
      </c>
      <c r="AL11" s="40" t="s">
        <v>87</v>
      </c>
      <c r="AM11" s="40" t="s">
        <v>88</v>
      </c>
      <c r="AN11" s="40" t="s">
        <v>89</v>
      </c>
      <c r="AO11" s="40" t="s">
        <v>90</v>
      </c>
      <c r="AP11" s="40" t="s">
        <v>91</v>
      </c>
      <c r="AQ11" s="40" t="s">
        <v>92</v>
      </c>
    </row>
    <row r="12" spans="1:44" ht="18" customHeight="1">
      <c r="A12" s="581"/>
      <c r="B12" s="1542" t="s">
        <v>526</v>
      </c>
      <c r="C12" s="2227" t="s">
        <v>527</v>
      </c>
      <c r="D12" s="2227"/>
      <c r="E12" s="1543">
        <f t="shared" ref="E12:O14" si="5">ROUNDDOWN(V13/1000,0)</f>
        <v>3732</v>
      </c>
      <c r="F12" s="1543">
        <f t="shared" si="5"/>
        <v>3762</v>
      </c>
      <c r="G12" s="1543">
        <f t="shared" si="5"/>
        <v>3865</v>
      </c>
      <c r="H12" s="1543">
        <f t="shared" si="5"/>
        <v>3837</v>
      </c>
      <c r="I12" s="1543">
        <f t="shared" si="5"/>
        <v>3841</v>
      </c>
      <c r="J12" s="1543">
        <f t="shared" si="5"/>
        <v>3831</v>
      </c>
      <c r="K12" s="1543">
        <f t="shared" si="5"/>
        <v>3728</v>
      </c>
      <c r="L12" s="1543">
        <f t="shared" si="5"/>
        <v>3495</v>
      </c>
      <c r="M12" s="1543">
        <f t="shared" si="5"/>
        <v>3562</v>
      </c>
      <c r="N12" s="1543">
        <f t="shared" si="5"/>
        <v>3661</v>
      </c>
      <c r="O12" s="1543">
        <f t="shared" si="5"/>
        <v>3632</v>
      </c>
      <c r="P12" s="1544">
        <f t="shared" si="3"/>
        <v>-0.27114369519118942</v>
      </c>
      <c r="Q12" s="581"/>
      <c r="S12" s="15"/>
      <c r="T12" s="15"/>
      <c r="U12" s="47"/>
      <c r="V12" s="47">
        <f t="shared" ref="V12:AF12" si="6">IF((ROUND(V11/U11,3)-1)*100=0,(V11/U11-1)*100,(ROUND(V11/U11,3)-1)*100)</f>
        <v>-9.2999999999999972</v>
      </c>
      <c r="W12" s="47">
        <f t="shared" si="6"/>
        <v>-1.5000000000000013</v>
      </c>
      <c r="X12" s="47">
        <f t="shared" si="6"/>
        <v>5.2999999999999936</v>
      </c>
      <c r="Y12" s="47">
        <f t="shared" si="6"/>
        <v>0.69999999999998952</v>
      </c>
      <c r="Z12" s="47">
        <f t="shared" si="6"/>
        <v>-1.5000000000000013</v>
      </c>
      <c r="AA12" s="47">
        <f t="shared" si="6"/>
        <v>-11.5</v>
      </c>
      <c r="AB12" s="47">
        <f t="shared" si="6"/>
        <v>-3.3000000000000029</v>
      </c>
      <c r="AC12" s="48">
        <f t="shared" si="6"/>
        <v>-5.600000000000005</v>
      </c>
      <c r="AD12" s="47">
        <f t="shared" si="6"/>
        <v>13.700000000000001</v>
      </c>
      <c r="AE12" s="48">
        <f t="shared" si="6"/>
        <v>-7.4999999999999956</v>
      </c>
      <c r="AF12" s="49">
        <f t="shared" si="6"/>
        <v>3.2999999999999918</v>
      </c>
      <c r="AG12" s="50" t="s">
        <v>8</v>
      </c>
      <c r="AI12" s="8">
        <f>($AF$9/AD9-1)*100/2</f>
        <v>-2.237022550176043</v>
      </c>
      <c r="AJ12" s="8">
        <f>($AF$9/AC9-1)*100/2</f>
        <v>6.5393861697014337</v>
      </c>
      <c r="AK12" s="8">
        <f>($AF$9/AB9-1)*100/2</f>
        <v>1.8348655026900862</v>
      </c>
      <c r="AL12" s="8">
        <f>($AF$9/AA9-1)*100/2</f>
        <v>0.31053345446857561</v>
      </c>
      <c r="AM12" s="8">
        <f>($AF$9/Z9-1)*100/2</f>
        <v>-5.8823180217177526</v>
      </c>
      <c r="AN12" s="8">
        <f>($AF$9/Y9-1)*100/2</f>
        <v>-6.7134655518328703</v>
      </c>
      <c r="AO12" s="8">
        <f>($AF$9/X9-1)*100/2</f>
        <v>-7.2608752326868036</v>
      </c>
      <c r="AP12" s="8">
        <f>($AF$9/W9-1)*100/2</f>
        <v>-5.3374817168896191</v>
      </c>
      <c r="AQ12" s="51">
        <f>($AF$9/V9-1)*100/2</f>
        <v>-3.9979081423732907</v>
      </c>
      <c r="AR12" s="8" t="s">
        <v>93</v>
      </c>
    </row>
    <row r="13" spans="1:44" ht="18" customHeight="1">
      <c r="A13" s="581"/>
      <c r="B13" s="2245" t="s">
        <v>528</v>
      </c>
      <c r="C13" s="2228" t="s">
        <v>524</v>
      </c>
      <c r="D13" s="2228"/>
      <c r="E13" s="657">
        <f t="shared" si="5"/>
        <v>3054</v>
      </c>
      <c r="F13" s="657">
        <f t="shared" si="5"/>
        <v>2993</v>
      </c>
      <c r="G13" s="657">
        <f t="shared" si="5"/>
        <v>3071</v>
      </c>
      <c r="H13" s="657">
        <f t="shared" si="5"/>
        <v>3113</v>
      </c>
      <c r="I13" s="657">
        <f t="shared" si="5"/>
        <v>3146</v>
      </c>
      <c r="J13" s="657">
        <f t="shared" si="5"/>
        <v>3035</v>
      </c>
      <c r="K13" s="657">
        <f t="shared" si="5"/>
        <v>3002</v>
      </c>
      <c r="L13" s="657">
        <f t="shared" si="5"/>
        <v>2806</v>
      </c>
      <c r="M13" s="657">
        <f t="shared" si="5"/>
        <v>2872</v>
      </c>
      <c r="N13" s="657">
        <f t="shared" si="5"/>
        <v>2836</v>
      </c>
      <c r="O13" s="657">
        <f t="shared" si="5"/>
        <v>2855</v>
      </c>
      <c r="P13" s="658">
        <f t="shared" si="3"/>
        <v>-0.67130772129087024</v>
      </c>
      <c r="Q13" s="581"/>
      <c r="S13" s="27" t="s">
        <v>1036</v>
      </c>
      <c r="T13" s="27" t="s">
        <v>364</v>
      </c>
      <c r="U13" s="52">
        <v>3751533</v>
      </c>
      <c r="V13" s="52">
        <v>3732148</v>
      </c>
      <c r="W13" s="52">
        <v>3762654</v>
      </c>
      <c r="X13" s="52">
        <v>3865941</v>
      </c>
      <c r="Y13" s="52">
        <v>3837482</v>
      </c>
      <c r="Z13" s="52">
        <v>3841688</v>
      </c>
      <c r="AA13" s="52">
        <v>3831028</v>
      </c>
      <c r="AB13" s="52">
        <v>3728751</v>
      </c>
      <c r="AC13" s="53">
        <v>3495305</v>
      </c>
      <c r="AD13" s="52">
        <v>3562068</v>
      </c>
      <c r="AE13" s="53">
        <v>3661625</v>
      </c>
      <c r="AF13" s="54">
        <v>3632179</v>
      </c>
      <c r="AG13" s="55">
        <f>((AF13/V13)^(1/10)-1)*100</f>
        <v>-0.27114369519118942</v>
      </c>
      <c r="AI13" s="8">
        <f>(10^(LOG($AF$9/AD9)/2)-1)*100</f>
        <v>-2.2626197917869795</v>
      </c>
      <c r="AJ13" s="8">
        <f>(10^(LOG($AF$9/AC9)/2)-1)*100</f>
        <v>6.3385030642254536</v>
      </c>
      <c r="AK13" s="8">
        <f>(10^(LOG($AF$9/AB9)/2)-1)*100</f>
        <v>1.8183338134052152</v>
      </c>
      <c r="AL13" s="8">
        <f>(10^(LOG($AF$9/AA9)/2)-1)*100</f>
        <v>0.31005279080316139</v>
      </c>
      <c r="AM13" s="8">
        <f>(10^(LOG($AF$9/Z9)/2)-1)*100</f>
        <v>-6.0663191626323609</v>
      </c>
      <c r="AN13" s="8">
        <f>(10^(LOG($AF$9/Y9)/2)-1)*100</f>
        <v>-6.9553500214363346</v>
      </c>
      <c r="AO13" s="8">
        <f>(10^(LOG($AF$9/X9)/2)-1)*100</f>
        <v>-7.5455520082314269</v>
      </c>
      <c r="AP13" s="8">
        <f>(10^(LOG($AF$9/W9)/2)-1)*100</f>
        <v>-5.4880766430918655</v>
      </c>
      <c r="AQ13" s="8">
        <f>(10^(LOG($AF$9/V9)/2)-1)*100</f>
        <v>-4.0811886462027598</v>
      </c>
      <c r="AR13" s="8" t="s">
        <v>94</v>
      </c>
    </row>
    <row r="14" spans="1:44" ht="18" customHeight="1">
      <c r="A14" s="581"/>
      <c r="B14" s="2245"/>
      <c r="C14" s="2247" t="s">
        <v>529</v>
      </c>
      <c r="D14" s="2247"/>
      <c r="E14" s="661">
        <f t="shared" si="5"/>
        <v>6786</v>
      </c>
      <c r="F14" s="661">
        <f t="shared" si="5"/>
        <v>6756</v>
      </c>
      <c r="G14" s="661">
        <f t="shared" si="5"/>
        <v>6937</v>
      </c>
      <c r="H14" s="661">
        <f t="shared" si="5"/>
        <v>6951</v>
      </c>
      <c r="I14" s="661">
        <f t="shared" si="5"/>
        <v>6988</v>
      </c>
      <c r="J14" s="661">
        <f t="shared" si="5"/>
        <v>6866</v>
      </c>
      <c r="K14" s="661">
        <f t="shared" si="5"/>
        <v>6731</v>
      </c>
      <c r="L14" s="661">
        <f t="shared" si="5"/>
        <v>6301</v>
      </c>
      <c r="M14" s="661">
        <f t="shared" si="5"/>
        <v>6434</v>
      </c>
      <c r="N14" s="661">
        <f t="shared" si="5"/>
        <v>6498</v>
      </c>
      <c r="O14" s="661">
        <f t="shared" si="5"/>
        <v>6487</v>
      </c>
      <c r="P14" s="662">
        <f t="shared" si="3"/>
        <v>-0.44946328348988152</v>
      </c>
      <c r="Q14" s="581"/>
      <c r="S14" s="23"/>
      <c r="T14" s="15" t="s">
        <v>2</v>
      </c>
      <c r="U14" s="56">
        <v>3088641</v>
      </c>
      <c r="V14" s="56">
        <v>3054666</v>
      </c>
      <c r="W14" s="56">
        <v>2993468</v>
      </c>
      <c r="X14" s="56">
        <v>3071577</v>
      </c>
      <c r="Y14" s="56">
        <v>3113916</v>
      </c>
      <c r="Z14" s="56">
        <v>3146470</v>
      </c>
      <c r="AA14" s="56">
        <v>3035839</v>
      </c>
      <c r="AB14" s="56">
        <v>3002274</v>
      </c>
      <c r="AC14" s="57">
        <v>2806346</v>
      </c>
      <c r="AD14" s="56">
        <v>2872848</v>
      </c>
      <c r="AE14" s="57">
        <v>2836502</v>
      </c>
      <c r="AF14" s="58">
        <v>2855689</v>
      </c>
      <c r="AG14" s="24">
        <f>((AF14/V14)^(1/10)-1)*100</f>
        <v>-0.67130772129087024</v>
      </c>
      <c r="AI14" s="8">
        <f>(($AF$9/AD9)^(1/2)-1)*100</f>
        <v>-2.2626197917869684</v>
      </c>
      <c r="AJ14" s="8">
        <f>(($AF$9/AC9)^(1/2)-1)*100</f>
        <v>6.3385030642254536</v>
      </c>
      <c r="AK14" s="8">
        <f>(($AF$9/AB9)^(1/2)-1)*100</f>
        <v>1.8183338134052152</v>
      </c>
      <c r="AL14" s="8">
        <f>(($AF$9/AA9)^(1/2)-1)*100</f>
        <v>0.31005279080316139</v>
      </c>
      <c r="AM14" s="8">
        <f>(($AF$9/Z9)^(1/2)-1)*100</f>
        <v>-6.0663191626323609</v>
      </c>
      <c r="AN14" s="8">
        <f>(($AF$9/Y9)^(1/2)-1)*100</f>
        <v>-6.9553500214363462</v>
      </c>
      <c r="AO14" s="8">
        <f>(($AF$9/X9)^(1/2)-1)*100</f>
        <v>-7.5455520082314269</v>
      </c>
      <c r="AP14" s="8">
        <f>(($AF$9/W9)^(1/2)-1)*100</f>
        <v>-5.488076643091877</v>
      </c>
      <c r="AQ14" s="8">
        <f>(($AF$9/V9)^(1/2)-1)*100</f>
        <v>-4.0811886462027598</v>
      </c>
      <c r="AR14" s="8" t="s">
        <v>95</v>
      </c>
    </row>
    <row r="15" spans="1:44" ht="18" customHeight="1">
      <c r="A15" s="581"/>
      <c r="B15" s="663"/>
      <c r="C15" s="2242" t="s">
        <v>1710</v>
      </c>
      <c r="D15" s="2242"/>
      <c r="E15" s="659">
        <f t="shared" ref="E15:O15" si="7">V16</f>
        <v>-0.80000000000000071</v>
      </c>
      <c r="F15" s="659">
        <f t="shared" si="7"/>
        <v>-0.50000000000000044</v>
      </c>
      <c r="G15" s="659">
        <f t="shared" si="7"/>
        <v>2.6999999999999913</v>
      </c>
      <c r="H15" s="659">
        <f t="shared" si="7"/>
        <v>0.20000000000000018</v>
      </c>
      <c r="I15" s="659">
        <f t="shared" si="7"/>
        <v>0.49999999999998934</v>
      </c>
      <c r="J15" s="659">
        <f t="shared" si="7"/>
        <v>-1.7000000000000015</v>
      </c>
      <c r="K15" s="659">
        <f t="shared" si="7"/>
        <v>-2.0000000000000018</v>
      </c>
      <c r="L15" s="659">
        <f t="shared" si="7"/>
        <v>-6.399999999999995</v>
      </c>
      <c r="M15" s="659">
        <f t="shared" si="7"/>
        <v>2.0999999999999908</v>
      </c>
      <c r="N15" s="659">
        <f t="shared" si="7"/>
        <v>1.0000000000000009</v>
      </c>
      <c r="O15" s="659">
        <f t="shared" si="7"/>
        <v>-0.20000000000000018</v>
      </c>
      <c r="P15" s="660" t="str">
        <f t="shared" si="3"/>
        <v>-</v>
      </c>
      <c r="Q15" s="581"/>
      <c r="S15" s="21"/>
      <c r="T15" s="21" t="s">
        <v>330</v>
      </c>
      <c r="U15" s="44">
        <v>6840174</v>
      </c>
      <c r="V15" s="44">
        <v>6786814</v>
      </c>
      <c r="W15" s="44">
        <v>6756122</v>
      </c>
      <c r="X15" s="44">
        <v>6937518</v>
      </c>
      <c r="Y15" s="44">
        <v>6951398</v>
      </c>
      <c r="Z15" s="44">
        <v>6988158</v>
      </c>
      <c r="AA15" s="44">
        <v>6866867</v>
      </c>
      <c r="AB15" s="44">
        <v>6731025</v>
      </c>
      <c r="AC15" s="45">
        <v>6301651</v>
      </c>
      <c r="AD15" s="44">
        <v>6434916</v>
      </c>
      <c r="AE15" s="45">
        <v>6498127</v>
      </c>
      <c r="AF15" s="46">
        <v>6487868</v>
      </c>
      <c r="AG15" s="22">
        <f>((AF15/V15)^(1/10)-1)*100</f>
        <v>-0.44946328348988152</v>
      </c>
    </row>
    <row r="16" spans="1:44" ht="18" customHeight="1">
      <c r="A16" s="581"/>
      <c r="B16" s="1092" t="s">
        <v>530</v>
      </c>
      <c r="C16" s="2243" t="s">
        <v>525</v>
      </c>
      <c r="D16" s="2243"/>
      <c r="E16" s="661">
        <f t="shared" ref="E16:O16" si="8">ROUNDDOWN(V17/1000,0)</f>
        <v>77421</v>
      </c>
      <c r="F16" s="661">
        <f t="shared" si="8"/>
        <v>77769</v>
      </c>
      <c r="G16" s="661">
        <f t="shared" si="8"/>
        <v>78097</v>
      </c>
      <c r="H16" s="661">
        <f t="shared" si="8"/>
        <v>78309</v>
      </c>
      <c r="I16" s="661">
        <f t="shared" si="8"/>
        <v>78438</v>
      </c>
      <c r="J16" s="661">
        <f t="shared" si="8"/>
        <v>78484</v>
      </c>
      <c r="K16" s="661">
        <f t="shared" si="8"/>
        <v>78476</v>
      </c>
      <c r="L16" s="661">
        <f t="shared" si="8"/>
        <v>78548</v>
      </c>
      <c r="M16" s="661">
        <f t="shared" si="8"/>
        <v>78781</v>
      </c>
      <c r="N16" s="661">
        <f t="shared" si="8"/>
        <v>78769</v>
      </c>
      <c r="O16" s="661">
        <f t="shared" si="8"/>
        <v>78815</v>
      </c>
      <c r="P16" s="662">
        <f>AG17</f>
        <v>0.17852332664349824</v>
      </c>
      <c r="Q16" s="581"/>
      <c r="S16" s="59"/>
      <c r="T16" s="59"/>
      <c r="U16" s="60"/>
      <c r="V16" s="60">
        <f t="shared" ref="V16:AF16" si="9">IF((ROUND(V15/U15,3)-1)*100=0,(V15/U15-1)*100,(ROUND(V15/U15,3)-1)*100)</f>
        <v>-0.80000000000000071</v>
      </c>
      <c r="W16" s="60">
        <f t="shared" si="9"/>
        <v>-0.50000000000000044</v>
      </c>
      <c r="X16" s="60">
        <f t="shared" si="9"/>
        <v>2.6999999999999913</v>
      </c>
      <c r="Y16" s="60">
        <f t="shared" si="9"/>
        <v>0.20000000000000018</v>
      </c>
      <c r="Z16" s="60">
        <f t="shared" si="9"/>
        <v>0.49999999999998934</v>
      </c>
      <c r="AA16" s="60">
        <f t="shared" si="9"/>
        <v>-1.7000000000000015</v>
      </c>
      <c r="AB16" s="60">
        <f t="shared" si="9"/>
        <v>-2.0000000000000018</v>
      </c>
      <c r="AC16" s="61">
        <f t="shared" si="9"/>
        <v>-6.399999999999995</v>
      </c>
      <c r="AD16" s="60">
        <f t="shared" si="9"/>
        <v>2.0999999999999908</v>
      </c>
      <c r="AE16" s="61">
        <f t="shared" si="9"/>
        <v>1.0000000000000009</v>
      </c>
      <c r="AF16" s="62">
        <f t="shared" si="9"/>
        <v>-0.20000000000000018</v>
      </c>
      <c r="AG16" s="63" t="s">
        <v>8</v>
      </c>
    </row>
    <row r="17" spans="1:44" ht="18" customHeight="1">
      <c r="A17" s="581"/>
      <c r="B17" s="664" t="s">
        <v>531</v>
      </c>
      <c r="C17" s="2244" t="s">
        <v>1710</v>
      </c>
      <c r="D17" s="2244"/>
      <c r="E17" s="659">
        <f t="shared" ref="E17:N17" si="10">V18</f>
        <v>0.29999999999998916</v>
      </c>
      <c r="F17" s="659">
        <f t="shared" si="10"/>
        <v>0.40000000000000036</v>
      </c>
      <c r="G17" s="659">
        <f t="shared" si="10"/>
        <v>0.40000000000000036</v>
      </c>
      <c r="H17" s="659">
        <f t="shared" si="10"/>
        <v>0.29999999999998916</v>
      </c>
      <c r="I17" s="659">
        <f t="shared" si="10"/>
        <v>0.20000000000000018</v>
      </c>
      <c r="J17" s="659">
        <f t="shared" si="10"/>
        <v>9.9999999999988987E-2</v>
      </c>
      <c r="K17" s="659">
        <f t="shared" si="10"/>
        <v>-9.7828170030567208E-3</v>
      </c>
      <c r="L17" s="659">
        <f t="shared" si="10"/>
        <v>9.9999999999988987E-2</v>
      </c>
      <c r="M17" s="659">
        <f t="shared" si="10"/>
        <v>0.29999999999998916</v>
      </c>
      <c r="N17" s="659">
        <f t="shared" si="10"/>
        <v>-1.5615353255982178E-2</v>
      </c>
      <c r="O17" s="659">
        <f>AF18</f>
        <v>9.9999999999988987E-2</v>
      </c>
      <c r="P17" s="660" t="str">
        <f>AG18</f>
        <v>-</v>
      </c>
      <c r="Q17" s="581"/>
      <c r="S17" s="23" t="s">
        <v>67</v>
      </c>
      <c r="T17" s="23" t="s">
        <v>330</v>
      </c>
      <c r="U17" s="44">
        <v>77204842</v>
      </c>
      <c r="V17" s="44">
        <v>77421722</v>
      </c>
      <c r="W17" s="44">
        <v>77769014</v>
      </c>
      <c r="X17" s="44">
        <v>78097326</v>
      </c>
      <c r="Y17" s="44">
        <v>78309862</v>
      </c>
      <c r="Z17" s="44">
        <v>78438011</v>
      </c>
      <c r="AA17" s="44">
        <v>78484551</v>
      </c>
      <c r="AB17" s="44">
        <v>78476873</v>
      </c>
      <c r="AC17" s="45">
        <v>78548616</v>
      </c>
      <c r="AD17" s="44">
        <v>78781439</v>
      </c>
      <c r="AE17" s="45">
        <v>78769137</v>
      </c>
      <c r="AF17" s="46">
        <v>78815037</v>
      </c>
      <c r="AG17" s="22">
        <f>((AF17/V17)^(1/10)-1)*100</f>
        <v>0.17852332664349824</v>
      </c>
    </row>
    <row r="18" spans="1:44" ht="12" customHeight="1" thickBot="1">
      <c r="A18" s="581"/>
      <c r="B18" s="81" t="s">
        <v>1373</v>
      </c>
      <c r="C18" s="581"/>
      <c r="D18" s="581"/>
      <c r="E18" s="606"/>
      <c r="F18" s="606"/>
      <c r="G18" s="606"/>
      <c r="H18" s="606"/>
      <c r="I18" s="606"/>
      <c r="J18" s="606"/>
      <c r="K18" s="606"/>
      <c r="L18" s="606"/>
      <c r="M18" s="606"/>
      <c r="N18" s="606"/>
      <c r="O18" s="606"/>
      <c r="P18" s="606"/>
      <c r="Q18" s="581"/>
      <c r="S18" s="64"/>
      <c r="T18" s="65"/>
      <c r="U18" s="66"/>
      <c r="V18" s="66">
        <f t="shared" ref="V18:AE18" si="11">IF((ROUND(V17/U17,3)-1)*100=0,(V17/U17-1)*100,(ROUND(V17/U17,3)-1)*100)</f>
        <v>0.29999999999998916</v>
      </c>
      <c r="W18" s="66">
        <f t="shared" si="11"/>
        <v>0.40000000000000036</v>
      </c>
      <c r="X18" s="66">
        <f t="shared" si="11"/>
        <v>0.40000000000000036</v>
      </c>
      <c r="Y18" s="66">
        <f t="shared" si="11"/>
        <v>0.29999999999998916</v>
      </c>
      <c r="Z18" s="66">
        <f t="shared" si="11"/>
        <v>0.20000000000000018</v>
      </c>
      <c r="AA18" s="66">
        <f t="shared" si="11"/>
        <v>9.9999999999988987E-2</v>
      </c>
      <c r="AB18" s="66">
        <f t="shared" si="11"/>
        <v>-9.7828170030567208E-3</v>
      </c>
      <c r="AC18" s="67">
        <f t="shared" si="11"/>
        <v>9.9999999999988987E-2</v>
      </c>
      <c r="AD18" s="66">
        <f t="shared" si="11"/>
        <v>0.29999999999998916</v>
      </c>
      <c r="AE18" s="67">
        <f t="shared" si="11"/>
        <v>-1.5615353255982178E-2</v>
      </c>
      <c r="AF18" s="68">
        <f>IF((ROUND(AF17/AE17,3)-1)*100=0,(AF17/AE17-1)*100,(ROUND(AF17/AE17,3)-1)*100)</f>
        <v>9.9999999999988987E-2</v>
      </c>
      <c r="AG18" s="69" t="s">
        <v>8</v>
      </c>
    </row>
    <row r="19" spans="1:44" ht="9.9499999999999993" customHeight="1">
      <c r="A19" s="581"/>
      <c r="B19" s="665" t="s">
        <v>1374</v>
      </c>
      <c r="C19" s="581"/>
      <c r="D19" s="581"/>
      <c r="E19" s="609"/>
      <c r="F19" s="609"/>
      <c r="G19" s="609"/>
      <c r="H19" s="609"/>
      <c r="I19" s="609"/>
      <c r="J19" s="609"/>
      <c r="K19" s="609"/>
      <c r="L19" s="609"/>
      <c r="M19" s="609"/>
      <c r="N19" s="609"/>
      <c r="O19" s="609"/>
      <c r="P19" s="609"/>
      <c r="Q19" s="609"/>
    </row>
    <row r="20" spans="1:44" ht="8.1" customHeight="1">
      <c r="A20" s="581"/>
      <c r="B20" s="81"/>
      <c r="C20" s="581"/>
      <c r="D20" s="581"/>
      <c r="E20" s="609"/>
      <c r="F20" s="609"/>
      <c r="G20" s="609"/>
      <c r="H20" s="609"/>
      <c r="I20" s="609"/>
      <c r="J20" s="609"/>
      <c r="K20" s="609"/>
      <c r="L20" s="609"/>
      <c r="M20" s="609"/>
      <c r="N20" s="609"/>
      <c r="O20" s="609"/>
      <c r="P20" s="609"/>
      <c r="Q20" s="609"/>
    </row>
    <row r="21" spans="1:44" ht="8.1" customHeight="1">
      <c r="A21" s="581"/>
      <c r="B21" s="81"/>
      <c r="C21" s="581"/>
      <c r="D21" s="581"/>
      <c r="E21" s="583"/>
      <c r="F21" s="583"/>
      <c r="G21" s="583"/>
      <c r="H21" s="583"/>
      <c r="I21" s="583"/>
      <c r="J21" s="583"/>
      <c r="K21" s="583"/>
      <c r="L21" s="583"/>
      <c r="M21" s="583"/>
      <c r="N21" s="583"/>
      <c r="O21" s="609"/>
      <c r="P21" s="609"/>
      <c r="Q21" s="609"/>
    </row>
    <row r="22" spans="1:44" ht="8.1" customHeight="1">
      <c r="A22" s="581"/>
      <c r="B22" s="581"/>
      <c r="C22" s="581"/>
      <c r="D22" s="581"/>
      <c r="E22" s="583"/>
      <c r="F22" s="583"/>
      <c r="G22" s="583"/>
      <c r="H22" s="583"/>
      <c r="I22" s="583"/>
      <c r="J22" s="583"/>
      <c r="K22" s="583"/>
      <c r="L22" s="583"/>
      <c r="M22" s="583"/>
      <c r="N22" s="583"/>
      <c r="O22" s="581"/>
      <c r="P22" s="581"/>
      <c r="Q22" s="581"/>
      <c r="AR22" s="70"/>
    </row>
    <row r="23" spans="1:44" ht="8.1" customHeight="1">
      <c r="A23" s="581"/>
      <c r="B23" s="581"/>
      <c r="C23" s="581"/>
      <c r="D23" s="581"/>
      <c r="E23" s="583"/>
      <c r="F23" s="583"/>
      <c r="G23" s="583"/>
      <c r="H23" s="583"/>
      <c r="I23" s="583"/>
      <c r="J23" s="583"/>
      <c r="K23" s="583"/>
      <c r="L23" s="583"/>
      <c r="M23" s="583"/>
      <c r="N23" s="583"/>
      <c r="O23" s="606"/>
      <c r="P23" s="606"/>
      <c r="Q23" s="581"/>
    </row>
    <row r="24" spans="1:44" ht="15" customHeight="1">
      <c r="A24" s="581"/>
      <c r="B24" s="581"/>
      <c r="C24" s="581"/>
      <c r="D24" s="581"/>
      <c r="E24" s="583"/>
      <c r="F24" s="583"/>
      <c r="G24" s="583"/>
      <c r="H24" s="583"/>
      <c r="I24" s="583"/>
      <c r="J24" s="583"/>
      <c r="K24" s="583"/>
      <c r="L24" s="583"/>
      <c r="M24" s="583"/>
      <c r="N24" s="583"/>
      <c r="O24" s="583"/>
      <c r="P24" s="583"/>
      <c r="Q24" s="581"/>
      <c r="S24" s="5" t="s">
        <v>292</v>
      </c>
    </row>
    <row r="25" spans="1:44" ht="15" customHeight="1">
      <c r="A25" s="581"/>
      <c r="B25" s="581"/>
      <c r="C25" s="581"/>
      <c r="D25" s="581"/>
      <c r="E25" s="583"/>
      <c r="F25" s="583"/>
      <c r="G25" s="583"/>
      <c r="H25" s="583"/>
      <c r="I25" s="583"/>
      <c r="J25" s="583"/>
      <c r="K25" s="583"/>
      <c r="L25" s="583"/>
      <c r="M25" s="583"/>
      <c r="N25" s="583"/>
      <c r="O25" s="609"/>
      <c r="P25" s="609"/>
      <c r="Q25" s="581"/>
      <c r="S25" s="30" t="s">
        <v>429</v>
      </c>
      <c r="T25" s="31" t="s">
        <v>1432</v>
      </c>
      <c r="U25" s="31"/>
      <c r="V25" s="31"/>
      <c r="W25" s="31"/>
      <c r="X25" s="31"/>
      <c r="Y25" s="31"/>
      <c r="Z25" s="31"/>
      <c r="AA25" s="31"/>
      <c r="AB25" s="32"/>
    </row>
    <row r="26" spans="1:44" ht="15" customHeight="1">
      <c r="A26" s="581"/>
      <c r="B26" s="581"/>
      <c r="C26" s="581"/>
      <c r="D26" s="581"/>
      <c r="E26" s="583"/>
      <c r="F26" s="583"/>
      <c r="G26" s="583"/>
      <c r="H26" s="583"/>
      <c r="I26" s="583"/>
      <c r="J26" s="583"/>
      <c r="K26" s="583"/>
      <c r="L26" s="583"/>
      <c r="M26" s="583"/>
      <c r="N26" s="583"/>
      <c r="O26" s="609"/>
      <c r="P26" s="609"/>
      <c r="Q26" s="581"/>
      <c r="S26" s="33"/>
      <c r="T26" s="13" t="s">
        <v>432</v>
      </c>
      <c r="U26" s="13"/>
      <c r="V26" s="13"/>
      <c r="W26" s="13"/>
      <c r="X26" s="13"/>
      <c r="Y26" s="13"/>
      <c r="Z26" s="13"/>
      <c r="AA26" s="13"/>
      <c r="AB26" s="34"/>
    </row>
    <row r="27" spans="1:44" ht="15" customHeight="1">
      <c r="A27" s="581"/>
      <c r="B27" s="581"/>
      <c r="C27" s="581"/>
      <c r="D27" s="581"/>
      <c r="E27" s="583"/>
      <c r="F27" s="583"/>
      <c r="G27" s="583"/>
      <c r="H27" s="583"/>
      <c r="I27" s="583"/>
      <c r="J27" s="583"/>
      <c r="K27" s="583"/>
      <c r="L27" s="583"/>
      <c r="M27" s="583"/>
      <c r="N27" s="583"/>
      <c r="O27" s="610"/>
      <c r="P27" s="610"/>
      <c r="Q27" s="581"/>
      <c r="S27" s="8" t="s">
        <v>465</v>
      </c>
    </row>
    <row r="28" spans="1:44" ht="15" customHeight="1">
      <c r="A28" s="581"/>
      <c r="B28" s="581"/>
      <c r="C28" s="581"/>
      <c r="D28" s="581"/>
      <c r="E28" s="583"/>
      <c r="F28" s="583"/>
      <c r="G28" s="583"/>
      <c r="H28" s="583"/>
      <c r="I28" s="583"/>
      <c r="J28" s="583"/>
      <c r="K28" s="583"/>
      <c r="L28" s="583"/>
      <c r="M28" s="583"/>
      <c r="N28" s="583"/>
      <c r="O28" s="581"/>
      <c r="P28" s="581"/>
      <c r="Q28" s="581"/>
      <c r="S28" s="9" t="s">
        <v>251</v>
      </c>
    </row>
    <row r="29" spans="1:44" ht="15" customHeight="1">
      <c r="A29" s="581"/>
      <c r="B29" s="581"/>
      <c r="C29" s="581"/>
      <c r="D29" s="581"/>
      <c r="E29" s="581"/>
      <c r="F29" s="581"/>
      <c r="G29" s="581"/>
      <c r="H29" s="581"/>
      <c r="I29" s="581"/>
      <c r="J29" s="581"/>
      <c r="K29" s="581"/>
      <c r="L29" s="581"/>
      <c r="M29" s="581"/>
      <c r="N29" s="581"/>
      <c r="O29" s="581"/>
      <c r="P29" s="581"/>
      <c r="Q29" s="581"/>
      <c r="S29" s="9" t="s">
        <v>20</v>
      </c>
    </row>
    <row r="30" spans="1:44" ht="15" customHeight="1">
      <c r="A30" s="581"/>
      <c r="B30" s="581"/>
      <c r="C30" s="581"/>
      <c r="D30" s="581"/>
      <c r="E30" s="581"/>
      <c r="F30" s="581"/>
      <c r="G30" s="581"/>
      <c r="H30" s="581"/>
      <c r="I30" s="581"/>
      <c r="J30" s="581"/>
      <c r="K30" s="581"/>
      <c r="L30" s="581"/>
      <c r="M30" s="581"/>
      <c r="N30" s="581"/>
      <c r="O30" s="581"/>
      <c r="P30" s="581"/>
      <c r="Q30" s="581"/>
    </row>
    <row r="31" spans="1:44" ht="15" customHeight="1">
      <c r="A31" s="581"/>
      <c r="B31" s="581"/>
      <c r="C31" s="581"/>
      <c r="D31" s="581"/>
      <c r="E31" s="581"/>
      <c r="F31" s="581"/>
      <c r="G31" s="581"/>
      <c r="H31" s="581"/>
      <c r="I31" s="581"/>
      <c r="J31" s="581"/>
      <c r="K31" s="581"/>
      <c r="L31" s="581"/>
      <c r="M31" s="581"/>
      <c r="N31" s="581"/>
      <c r="O31" s="581"/>
      <c r="P31" s="581"/>
      <c r="Q31" s="581"/>
      <c r="S31" s="8" t="s">
        <v>466</v>
      </c>
    </row>
    <row r="32" spans="1:44" ht="15" customHeight="1">
      <c r="A32" s="581"/>
      <c r="B32" s="581"/>
      <c r="C32" s="581"/>
      <c r="D32" s="581"/>
      <c r="E32" s="581"/>
      <c r="F32" s="581"/>
      <c r="G32" s="581"/>
      <c r="H32" s="581"/>
      <c r="I32" s="581"/>
      <c r="J32" s="581"/>
      <c r="K32" s="581"/>
      <c r="L32" s="581"/>
      <c r="M32" s="581"/>
      <c r="N32" s="581"/>
      <c r="O32" s="581"/>
      <c r="P32" s="581"/>
      <c r="Q32" s="581"/>
      <c r="S32" s="8" t="s">
        <v>1315</v>
      </c>
    </row>
    <row r="33" spans="1:17" ht="15" customHeight="1">
      <c r="A33" s="581"/>
      <c r="B33" s="581"/>
      <c r="C33" s="581"/>
      <c r="D33" s="581"/>
      <c r="E33" s="581"/>
      <c r="F33" s="581"/>
      <c r="G33" s="581"/>
      <c r="H33" s="581"/>
      <c r="I33" s="581"/>
      <c r="J33" s="581"/>
      <c r="K33" s="581"/>
      <c r="L33" s="581"/>
      <c r="M33" s="581"/>
      <c r="N33" s="581"/>
      <c r="O33" s="581"/>
      <c r="P33" s="581"/>
      <c r="Q33" s="581"/>
    </row>
    <row r="34" spans="1:17" ht="15" customHeight="1">
      <c r="A34" s="581"/>
      <c r="B34" s="581"/>
      <c r="C34" s="581"/>
      <c r="D34" s="581"/>
      <c r="E34" s="581"/>
      <c r="F34" s="581"/>
      <c r="G34" s="581"/>
      <c r="H34" s="581"/>
      <c r="I34" s="581"/>
      <c r="J34" s="581"/>
      <c r="K34" s="581"/>
      <c r="L34" s="581"/>
      <c r="M34" s="581"/>
      <c r="N34" s="581"/>
      <c r="O34" s="581"/>
      <c r="P34" s="581"/>
      <c r="Q34" s="581"/>
    </row>
    <row r="35" spans="1:17" ht="17.25" customHeight="1">
      <c r="A35" s="581"/>
      <c r="B35" s="581"/>
      <c r="C35" s="581"/>
      <c r="D35" s="581"/>
      <c r="E35" s="581"/>
      <c r="F35" s="581"/>
      <c r="G35" s="581"/>
      <c r="H35" s="581"/>
      <c r="I35" s="581"/>
      <c r="J35" s="581"/>
      <c r="K35" s="581"/>
      <c r="L35" s="581"/>
      <c r="M35" s="581"/>
      <c r="N35" s="581"/>
      <c r="O35" s="581"/>
      <c r="P35" s="581"/>
      <c r="Q35" s="581"/>
    </row>
    <row r="36" spans="1:17" ht="16.5" customHeight="1">
      <c r="N36" s="10"/>
      <c r="O36" s="10"/>
      <c r="P36" s="10"/>
    </row>
    <row r="37" spans="1:17" ht="15" customHeight="1">
      <c r="N37" s="10"/>
      <c r="O37" s="10"/>
      <c r="P37" s="10"/>
    </row>
    <row r="38" spans="1:17" ht="15" customHeight="1">
      <c r="N38" s="10"/>
      <c r="O38" s="10"/>
      <c r="P38" s="10"/>
    </row>
    <row r="39" spans="1:17" ht="15" customHeight="1">
      <c r="N39" s="10"/>
      <c r="O39" s="10"/>
      <c r="P39" s="10"/>
    </row>
    <row r="40" spans="1:17" ht="15" customHeight="1">
      <c r="N40" s="10"/>
      <c r="O40" s="10"/>
      <c r="P40" s="10"/>
    </row>
    <row r="41" spans="1:17" ht="15" customHeight="1">
      <c r="N41" s="10"/>
      <c r="O41" s="10"/>
      <c r="P41" s="10"/>
    </row>
    <row r="42" spans="1:17" ht="15" customHeight="1">
      <c r="N42" s="10"/>
      <c r="O42" s="10"/>
      <c r="P42" s="10"/>
    </row>
    <row r="43" spans="1:17" ht="15" customHeight="1">
      <c r="B43" s="9"/>
      <c r="C43" s="9"/>
      <c r="D43" s="9"/>
    </row>
    <row r="44" spans="1:17" ht="15" customHeight="1">
      <c r="B44" s="9"/>
      <c r="C44" s="9"/>
      <c r="D44" s="9"/>
    </row>
    <row r="45" spans="1:17" ht="15" customHeight="1">
      <c r="B45" s="9"/>
      <c r="C45" s="9"/>
      <c r="D45" s="9"/>
    </row>
    <row r="46" spans="1:17" ht="15" customHeight="1"/>
    <row r="47" spans="1:17" ht="15" customHeight="1"/>
  </sheetData>
  <sheetProtection algorithmName="SHA-512" hashValue="upB8vnn7PJFnWcghbn4WonJFjb+9biGSvURocNHq2Aw7tBNHO5nk8vPtmMbjn05+WqUfNvXi8CwOzJ9PwwZISg==" saltValue="b+CPiout8Sq0zI2X71P9gw==" spinCount="100000" sheet="1" objects="1" scenarios="1"/>
  <customSheetViews>
    <customSheetView guid="{06451E13-97D0-44F4-875B-E8D80B2F1CF1}" scale="130" showPageBreaks="1" printArea="1" view="pageBreakPreview" topLeftCell="P1">
      <selection activeCell="U9" sqref="U9"/>
      <pageMargins left="0" right="0" top="0" bottom="0" header="0" footer="0"/>
      <printOptions horizontalCentered="1" verticalCentered="1"/>
      <pageSetup paperSize="9" scale="110" orientation="landscape" r:id="rId1"/>
      <headerFooter scaleWithDoc="0" alignWithMargins="0">
        <oddFooter>&amp;C&amp;"Arial,標準"&amp;12 2</oddFooter>
      </headerFooter>
    </customSheetView>
  </customSheetViews>
  <mergeCells count="37">
    <mergeCell ref="C15:D15"/>
    <mergeCell ref="C16:D16"/>
    <mergeCell ref="C17:D17"/>
    <mergeCell ref="B9:B10"/>
    <mergeCell ref="B13:B14"/>
    <mergeCell ref="C11:D11"/>
    <mergeCell ref="C12:D12"/>
    <mergeCell ref="C13:D13"/>
    <mergeCell ref="C14:D14"/>
    <mergeCell ref="B6:D6"/>
    <mergeCell ref="C8:D8"/>
    <mergeCell ref="C9:D9"/>
    <mergeCell ref="C10:D10"/>
    <mergeCell ref="S6:T8"/>
    <mergeCell ref="E6:E7"/>
    <mergeCell ref="F6:F7"/>
    <mergeCell ref="G6:G7"/>
    <mergeCell ref="H6:H7"/>
    <mergeCell ref="I6:I7"/>
    <mergeCell ref="J6:J7"/>
    <mergeCell ref="K6:K7"/>
    <mergeCell ref="L6:L7"/>
    <mergeCell ref="M6:M7"/>
    <mergeCell ref="N6:N7"/>
    <mergeCell ref="O6:O7"/>
    <mergeCell ref="U6:U8"/>
    <mergeCell ref="V6:V8"/>
    <mergeCell ref="W6:W8"/>
    <mergeCell ref="X6:X8"/>
    <mergeCell ref="Y6:Y8"/>
    <mergeCell ref="AE6:AE8"/>
    <mergeCell ref="AF6:AF8"/>
    <mergeCell ref="Z6:Z8"/>
    <mergeCell ref="AA6:AA8"/>
    <mergeCell ref="AB6:AB8"/>
    <mergeCell ref="AC6:AC8"/>
    <mergeCell ref="AD6:AD8"/>
  </mergeCells>
  <phoneticPr fontId="29"/>
  <printOptions horizontalCentered="1" verticalCentered="1"/>
  <pageMargins left="0" right="0" top="0" bottom="0" header="0" footer="0"/>
  <pageSetup paperSize="9" scale="110" orientation="landscape" r:id="rId2"/>
  <headerFooter scaleWithDoc="0" alignWithMargins="0">
    <oddFooter>&amp;C&amp;"Arial,標準"&amp;12 2</oddFooter>
  </headerFooter>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AG59"/>
  <sheetViews>
    <sheetView view="pageBreakPreview" topLeftCell="A2" zoomScaleNormal="100" zoomScaleSheetLayoutView="100" workbookViewId="0">
      <selection activeCell="A33" sqref="A33:XFD58"/>
    </sheetView>
  </sheetViews>
  <sheetFormatPr defaultColWidth="9.140625" defaultRowHeight="12.75"/>
  <cols>
    <col min="1" max="1" width="5" style="669" customWidth="1"/>
    <col min="2" max="2" width="18.85546875" style="669" customWidth="1"/>
    <col min="3" max="3" width="28.42578125" style="669" customWidth="1"/>
    <col min="4" max="16" width="7.42578125" style="669" customWidth="1"/>
    <col min="17" max="17" width="5" style="669" customWidth="1"/>
    <col min="18" max="18" width="4.140625" style="669" hidden="1" customWidth="1"/>
    <col min="19" max="19" width="17.42578125" style="669" hidden="1" customWidth="1"/>
    <col min="20" max="20" width="12.85546875" style="669" hidden="1" customWidth="1"/>
    <col min="21" max="21" width="10" style="669" hidden="1" customWidth="1"/>
    <col min="22" max="22" width="9.85546875" style="669" hidden="1" customWidth="1"/>
    <col min="23" max="23" width="10" style="669" hidden="1" customWidth="1"/>
    <col min="24" max="31" width="9.42578125" style="669" hidden="1" customWidth="1"/>
    <col min="32" max="32" width="10.140625" style="669" hidden="1" customWidth="1"/>
    <col min="33" max="33" width="12.140625" style="669" hidden="1" customWidth="1"/>
    <col min="34" max="52" width="0" style="669" hidden="1" customWidth="1"/>
    <col min="53" max="16384" width="9.140625" style="669"/>
  </cols>
  <sheetData>
    <row r="1" spans="1:33" ht="27" customHeight="1">
      <c r="A1" s="668"/>
      <c r="B1" s="668"/>
      <c r="C1" s="668"/>
      <c r="D1" s="668"/>
      <c r="E1" s="668"/>
      <c r="F1" s="668"/>
      <c r="G1" s="668"/>
      <c r="H1" s="668"/>
      <c r="I1" s="668"/>
      <c r="J1" s="668"/>
      <c r="K1" s="668"/>
      <c r="L1" s="668"/>
      <c r="M1" s="668"/>
      <c r="N1" s="668"/>
      <c r="O1" s="668"/>
      <c r="P1" s="668"/>
      <c r="Q1" s="668"/>
    </row>
    <row r="2" spans="1:33" ht="16.5" customHeight="1">
      <c r="A2" s="670"/>
      <c r="B2" s="671"/>
      <c r="C2" s="671"/>
      <c r="D2" s="668"/>
      <c r="E2" s="668"/>
      <c r="F2" s="668"/>
      <c r="G2" s="668"/>
      <c r="H2" s="668"/>
      <c r="I2" s="668"/>
      <c r="J2" s="668"/>
      <c r="K2" s="668"/>
      <c r="L2" s="668"/>
      <c r="M2" s="668"/>
      <c r="N2" s="668"/>
      <c r="O2" s="668"/>
      <c r="P2" s="668"/>
      <c r="Q2" s="668"/>
    </row>
    <row r="3" spans="1:33" ht="10.5" customHeight="1">
      <c r="A3" s="668"/>
      <c r="B3" s="668"/>
      <c r="C3" s="668"/>
      <c r="D3" s="668"/>
      <c r="E3" s="668"/>
      <c r="F3" s="668"/>
      <c r="G3" s="668"/>
      <c r="H3" s="668"/>
      <c r="I3" s="668"/>
      <c r="J3" s="668"/>
      <c r="K3" s="668"/>
      <c r="L3" s="668"/>
      <c r="M3" s="668"/>
      <c r="N3" s="668"/>
      <c r="O3" s="668"/>
      <c r="P3" s="668"/>
      <c r="Q3" s="668"/>
    </row>
    <row r="4" spans="1:33" ht="10.5" customHeight="1" thickBot="1">
      <c r="A4" s="668"/>
      <c r="B4" s="668"/>
      <c r="C4" s="668"/>
      <c r="D4" s="672"/>
      <c r="E4" s="672"/>
      <c r="F4" s="672"/>
      <c r="G4" s="672"/>
      <c r="H4" s="672"/>
      <c r="I4" s="672"/>
      <c r="J4" s="672"/>
      <c r="K4" s="672"/>
      <c r="L4" s="672"/>
      <c r="M4" s="672"/>
      <c r="N4" s="673"/>
      <c r="O4" s="674"/>
      <c r="P4" s="778" t="s">
        <v>548</v>
      </c>
      <c r="Q4" s="668"/>
      <c r="S4" s="675" t="s">
        <v>533</v>
      </c>
      <c r="T4" s="676"/>
      <c r="U4" s="676"/>
      <c r="V4" s="676"/>
      <c r="W4" s="676"/>
      <c r="X4" s="676"/>
      <c r="Y4" s="676"/>
      <c r="Z4" s="676"/>
      <c r="AA4" s="676"/>
      <c r="AB4" s="676"/>
      <c r="AC4" s="676"/>
      <c r="AD4" s="676"/>
    </row>
    <row r="5" spans="1:33" ht="17.25" customHeight="1">
      <c r="A5" s="668"/>
      <c r="B5" s="2273"/>
      <c r="C5" s="2273"/>
      <c r="D5" s="2238">
        <f>U5</f>
        <v>2015</v>
      </c>
      <c r="E5" s="2238">
        <f t="shared" ref="E5:N5" si="0">V5</f>
        <v>2016</v>
      </c>
      <c r="F5" s="2238">
        <f t="shared" si="0"/>
        <v>2017</v>
      </c>
      <c r="G5" s="2238">
        <f t="shared" si="0"/>
        <v>2018</v>
      </c>
      <c r="H5" s="2238">
        <f t="shared" si="0"/>
        <v>2019</v>
      </c>
      <c r="I5" s="2238">
        <f t="shared" si="0"/>
        <v>2020</v>
      </c>
      <c r="J5" s="2238">
        <f t="shared" si="0"/>
        <v>2021</v>
      </c>
      <c r="K5" s="2238">
        <f t="shared" si="0"/>
        <v>2022</v>
      </c>
      <c r="L5" s="2238">
        <f t="shared" si="0"/>
        <v>2023</v>
      </c>
      <c r="M5" s="2238">
        <f t="shared" si="0"/>
        <v>2024</v>
      </c>
      <c r="N5" s="2274">
        <f t="shared" si="0"/>
        <v>2025</v>
      </c>
      <c r="O5" s="678" t="s">
        <v>534</v>
      </c>
      <c r="P5" s="1796" t="s">
        <v>535</v>
      </c>
      <c r="Q5" s="668"/>
      <c r="S5" s="680"/>
      <c r="T5" s="681"/>
      <c r="U5" s="2270">
        <v>2015</v>
      </c>
      <c r="V5" s="2259">
        <f>U5+1</f>
        <v>2016</v>
      </c>
      <c r="W5" s="2259">
        <f t="shared" ref="W5:AE5" si="1">V5+1</f>
        <v>2017</v>
      </c>
      <c r="X5" s="2259">
        <f t="shared" si="1"/>
        <v>2018</v>
      </c>
      <c r="Y5" s="2259">
        <f t="shared" si="1"/>
        <v>2019</v>
      </c>
      <c r="Z5" s="2259">
        <f t="shared" si="1"/>
        <v>2020</v>
      </c>
      <c r="AA5" s="2259">
        <f t="shared" si="1"/>
        <v>2021</v>
      </c>
      <c r="AB5" s="2259">
        <f t="shared" si="1"/>
        <v>2022</v>
      </c>
      <c r="AC5" s="2259">
        <f t="shared" si="1"/>
        <v>2023</v>
      </c>
      <c r="AD5" s="2262">
        <f t="shared" si="1"/>
        <v>2024</v>
      </c>
      <c r="AE5" s="2265">
        <f t="shared" si="1"/>
        <v>2025</v>
      </c>
      <c r="AF5" s="682" t="s">
        <v>536</v>
      </c>
      <c r="AG5" s="683" t="s">
        <v>537</v>
      </c>
    </row>
    <row r="6" spans="1:33" ht="17.25" customHeight="1">
      <c r="A6" s="668"/>
      <c r="B6" s="1789"/>
      <c r="C6" s="1789"/>
      <c r="D6" s="2239"/>
      <c r="E6" s="2239"/>
      <c r="F6" s="2239"/>
      <c r="G6" s="2239"/>
      <c r="H6" s="2239"/>
      <c r="I6" s="2239"/>
      <c r="J6" s="2239"/>
      <c r="K6" s="2239"/>
      <c r="L6" s="2239"/>
      <c r="M6" s="2239"/>
      <c r="N6" s="2275"/>
      <c r="O6" s="646" t="s">
        <v>511</v>
      </c>
      <c r="P6" s="666" t="s">
        <v>509</v>
      </c>
      <c r="Q6" s="668"/>
      <c r="S6" s="684"/>
      <c r="T6" s="685"/>
      <c r="U6" s="2271"/>
      <c r="V6" s="2260"/>
      <c r="W6" s="2260"/>
      <c r="X6" s="2260"/>
      <c r="Y6" s="2260"/>
      <c r="Z6" s="2260"/>
      <c r="AA6" s="2260"/>
      <c r="AB6" s="2260"/>
      <c r="AC6" s="2260"/>
      <c r="AD6" s="2263"/>
      <c r="AE6" s="2266"/>
      <c r="AF6" s="686"/>
      <c r="AG6" s="687"/>
    </row>
    <row r="7" spans="1:33" s="688" customFormat="1" ht="18" customHeight="1" thickBot="1">
      <c r="A7" s="668"/>
      <c r="B7" s="2268" t="s">
        <v>1510</v>
      </c>
      <c r="C7" s="2269"/>
      <c r="D7" s="1817">
        <f t="shared" ref="D7:D12" si="2">IF(U8="-","-",ROUNDDOWN(U8/1000,0))</f>
        <v>136</v>
      </c>
      <c r="E7" s="1817">
        <f t="shared" ref="E7:E12" si="3">IF(V8="-","-",ROUNDDOWN(V8/1000,0))</f>
        <v>151</v>
      </c>
      <c r="F7" s="1817">
        <f t="shared" ref="F7:F12" si="4">IF(W8="-","-",ROUNDDOWN(W8/1000,0))</f>
        <v>144</v>
      </c>
      <c r="G7" s="1817">
        <f t="shared" ref="G7:G12" si="5">IF(X8="-","-",ROUNDDOWN(X8/1000,0))</f>
        <v>126</v>
      </c>
      <c r="H7" s="1817">
        <f t="shared" ref="H7:H12" si="6">IF(Y8="-","-",ROUNDDOWN(Y8/1000,0))</f>
        <v>171</v>
      </c>
      <c r="I7" s="1817">
        <f t="shared" ref="I7:I12" si="7">IF(Z8="-","-",ROUNDDOWN(Z8/1000,0))</f>
        <v>135</v>
      </c>
      <c r="J7" s="1817">
        <f t="shared" ref="J7:J12" si="8">IF(AA8="-","-",ROUNDDOWN(AA8/1000,0))</f>
        <v>133</v>
      </c>
      <c r="K7" s="1817">
        <f t="shared" ref="K7:K12" si="9">IF(AB8="-","-",ROUNDDOWN(AB8/1000,0))</f>
        <v>150</v>
      </c>
      <c r="L7" s="1817">
        <f t="shared" ref="L7:L12" si="10">IF(AC8="-","-",ROUNDDOWN(AC8/1000,0))</f>
        <v>204</v>
      </c>
      <c r="M7" s="1817">
        <f t="shared" ref="M7:M12" si="11">IF(AD8="-","-",ROUNDDOWN(AD8/1000,0))</f>
        <v>226</v>
      </c>
      <c r="N7" s="1817">
        <f t="shared" ref="N7:N12" si="12">IF(AE8="-","-",ROUNDDOWN(AE8/1000,0))</f>
        <v>253</v>
      </c>
      <c r="O7" s="1818">
        <f t="shared" ref="O7:O12" si="13">AF8</f>
        <v>11.961287704346745</v>
      </c>
      <c r="P7" s="1818">
        <f t="shared" ref="P7:P12" si="14">AG8</f>
        <v>6.4216579081816327</v>
      </c>
      <c r="Q7" s="668"/>
      <c r="S7" s="689"/>
      <c r="T7" s="690"/>
      <c r="U7" s="2272"/>
      <c r="V7" s="2261"/>
      <c r="W7" s="2261"/>
      <c r="X7" s="2261"/>
      <c r="Y7" s="2261"/>
      <c r="Z7" s="2261"/>
      <c r="AA7" s="2261"/>
      <c r="AB7" s="2261"/>
      <c r="AC7" s="2261"/>
      <c r="AD7" s="2264"/>
      <c r="AE7" s="2267"/>
      <c r="AF7" s="691" t="s">
        <v>373</v>
      </c>
      <c r="AG7" s="692" t="s">
        <v>5</v>
      </c>
    </row>
    <row r="8" spans="1:33" ht="18" customHeight="1" thickTop="1">
      <c r="A8" s="668"/>
      <c r="B8" s="2193" t="s">
        <v>1512</v>
      </c>
      <c r="C8" s="2181"/>
      <c r="D8" s="1066">
        <f t="shared" si="2"/>
        <v>49</v>
      </c>
      <c r="E8" s="1066">
        <f t="shared" si="3"/>
        <v>48</v>
      </c>
      <c r="F8" s="1066">
        <f t="shared" si="4"/>
        <v>69</v>
      </c>
      <c r="G8" s="1066">
        <f t="shared" si="5"/>
        <v>95</v>
      </c>
      <c r="H8" s="1066">
        <f t="shared" si="6"/>
        <v>122</v>
      </c>
      <c r="I8" s="1066">
        <f t="shared" si="7"/>
        <v>126</v>
      </c>
      <c r="J8" s="1066">
        <f t="shared" si="8"/>
        <v>162</v>
      </c>
      <c r="K8" s="1066">
        <f t="shared" si="9"/>
        <v>213</v>
      </c>
      <c r="L8" s="1066">
        <f t="shared" si="10"/>
        <v>218</v>
      </c>
      <c r="M8" s="1066">
        <f t="shared" si="11"/>
        <v>199</v>
      </c>
      <c r="N8" s="1066">
        <f t="shared" si="12"/>
        <v>186</v>
      </c>
      <c r="O8" s="1147">
        <f t="shared" si="13"/>
        <v>-6.2858491798009064</v>
      </c>
      <c r="P8" s="1147">
        <f t="shared" si="14"/>
        <v>14.272086414761453</v>
      </c>
      <c r="Q8" s="668"/>
      <c r="S8" s="700" t="s">
        <v>1725</v>
      </c>
      <c r="T8" s="700" t="s">
        <v>295</v>
      </c>
      <c r="U8" s="701">
        <v>136212</v>
      </c>
      <c r="V8" s="701">
        <v>151001</v>
      </c>
      <c r="W8" s="701">
        <v>144323</v>
      </c>
      <c r="X8" s="702">
        <v>126706</v>
      </c>
      <c r="Y8" s="702">
        <v>171505</v>
      </c>
      <c r="Z8" s="702">
        <v>135932</v>
      </c>
      <c r="AA8" s="702">
        <v>133233</v>
      </c>
      <c r="AB8" s="703">
        <v>150718</v>
      </c>
      <c r="AC8" s="702">
        <v>204404</v>
      </c>
      <c r="AD8" s="702">
        <v>226698</v>
      </c>
      <c r="AE8" s="704">
        <v>253814</v>
      </c>
      <c r="AF8" s="698">
        <f t="shared" ref="AF8:AF14" si="15">(AE8/AD8-1)*100</f>
        <v>11.961287704346745</v>
      </c>
      <c r="AG8" s="699">
        <f t="shared" ref="AG8:AG14" si="16">((AE8/U8)^(1/10)-1)*100</f>
        <v>6.4216579081816327</v>
      </c>
    </row>
    <row r="9" spans="1:33" ht="18" customHeight="1">
      <c r="A9" s="668"/>
      <c r="B9" s="2195" t="s">
        <v>1743</v>
      </c>
      <c r="C9" s="2177"/>
      <c r="D9" s="1065">
        <f t="shared" si="2"/>
        <v>42</v>
      </c>
      <c r="E9" s="1065">
        <f t="shared" si="3"/>
        <v>39</v>
      </c>
      <c r="F9" s="1065">
        <f t="shared" si="4"/>
        <v>47</v>
      </c>
      <c r="G9" s="1065">
        <f t="shared" si="5"/>
        <v>58</v>
      </c>
      <c r="H9" s="1065">
        <f t="shared" si="6"/>
        <v>55</v>
      </c>
      <c r="I9" s="1065">
        <f t="shared" si="7"/>
        <v>49</v>
      </c>
      <c r="J9" s="1065">
        <f t="shared" si="8"/>
        <v>62</v>
      </c>
      <c r="K9" s="1065">
        <f t="shared" si="9"/>
        <v>71</v>
      </c>
      <c r="L9" s="1065">
        <f t="shared" si="10"/>
        <v>81</v>
      </c>
      <c r="M9" s="1065">
        <f t="shared" si="11"/>
        <v>77</v>
      </c>
      <c r="N9" s="1065">
        <f t="shared" si="12"/>
        <v>118</v>
      </c>
      <c r="O9" s="1242">
        <f t="shared" si="13"/>
        <v>52.605863192182412</v>
      </c>
      <c r="P9" s="1242">
        <f t="shared" si="14"/>
        <v>10.78294644733151</v>
      </c>
      <c r="Q9" s="668"/>
      <c r="S9" s="693" t="s">
        <v>1726</v>
      </c>
      <c r="T9" s="693" t="s">
        <v>1730</v>
      </c>
      <c r="U9" s="694">
        <v>49144</v>
      </c>
      <c r="V9" s="694">
        <v>48244</v>
      </c>
      <c r="W9" s="694">
        <v>69039</v>
      </c>
      <c r="X9" s="695">
        <v>95074</v>
      </c>
      <c r="Y9" s="695">
        <v>122597</v>
      </c>
      <c r="Z9" s="695">
        <v>126418</v>
      </c>
      <c r="AA9" s="695">
        <v>162249</v>
      </c>
      <c r="AB9" s="696">
        <v>213526</v>
      </c>
      <c r="AC9" s="695">
        <v>218191</v>
      </c>
      <c r="AD9" s="695">
        <v>199098</v>
      </c>
      <c r="AE9" s="697">
        <v>186583</v>
      </c>
      <c r="AF9" s="705">
        <f t="shared" si="15"/>
        <v>-6.2858491798009064</v>
      </c>
      <c r="AG9" s="706">
        <f t="shared" si="16"/>
        <v>14.272086414761453</v>
      </c>
    </row>
    <row r="10" spans="1:33" ht="18" customHeight="1">
      <c r="A10" s="668"/>
      <c r="B10" s="2193" t="s">
        <v>1456</v>
      </c>
      <c r="C10" s="2181"/>
      <c r="D10" s="1066">
        <f t="shared" si="2"/>
        <v>64</v>
      </c>
      <c r="E10" s="1066">
        <f t="shared" si="3"/>
        <v>74</v>
      </c>
      <c r="F10" s="1066">
        <f t="shared" si="4"/>
        <v>91</v>
      </c>
      <c r="G10" s="1066">
        <f t="shared" si="5"/>
        <v>92</v>
      </c>
      <c r="H10" s="1066">
        <f t="shared" si="6"/>
        <v>80</v>
      </c>
      <c r="I10" s="1066">
        <f t="shared" si="7"/>
        <v>67</v>
      </c>
      <c r="J10" s="1066">
        <f t="shared" si="8"/>
        <v>88</v>
      </c>
      <c r="K10" s="1066">
        <f t="shared" si="9"/>
        <v>56</v>
      </c>
      <c r="L10" s="1066">
        <f t="shared" si="10"/>
        <v>65</v>
      </c>
      <c r="M10" s="1066">
        <f t="shared" si="11"/>
        <v>64</v>
      </c>
      <c r="N10" s="1066">
        <f t="shared" si="12"/>
        <v>83</v>
      </c>
      <c r="O10" s="1147">
        <f t="shared" si="13"/>
        <v>29.044629326075523</v>
      </c>
      <c r="P10" s="1147">
        <f t="shared" si="14"/>
        <v>2.5839379458425071</v>
      </c>
      <c r="Q10" s="668"/>
      <c r="S10" s="700" t="s">
        <v>1727</v>
      </c>
      <c r="T10" s="700" t="s">
        <v>1732</v>
      </c>
      <c r="U10" s="701">
        <v>42738</v>
      </c>
      <c r="V10" s="701">
        <v>39408</v>
      </c>
      <c r="W10" s="701">
        <v>47563</v>
      </c>
      <c r="X10" s="702">
        <v>58598</v>
      </c>
      <c r="Y10" s="702">
        <v>55882</v>
      </c>
      <c r="Z10" s="702">
        <v>49501</v>
      </c>
      <c r="AA10" s="702">
        <v>62428</v>
      </c>
      <c r="AB10" s="703">
        <v>71651</v>
      </c>
      <c r="AC10" s="702">
        <v>81683</v>
      </c>
      <c r="AD10" s="702">
        <v>77978</v>
      </c>
      <c r="AE10" s="704">
        <v>118999</v>
      </c>
      <c r="AF10" s="705">
        <f t="shared" si="15"/>
        <v>52.605863192182412</v>
      </c>
      <c r="AG10" s="706">
        <f t="shared" si="16"/>
        <v>10.78294644733151</v>
      </c>
    </row>
    <row r="11" spans="1:33" ht="18" customHeight="1">
      <c r="A11" s="668"/>
      <c r="B11" s="2195" t="s">
        <v>1744</v>
      </c>
      <c r="C11" s="2177"/>
      <c r="D11" s="1065">
        <f t="shared" si="2"/>
        <v>77</v>
      </c>
      <c r="E11" s="1065">
        <f t="shared" si="3"/>
        <v>57</v>
      </c>
      <c r="F11" s="1065">
        <f t="shared" si="4"/>
        <v>73</v>
      </c>
      <c r="G11" s="1065">
        <f t="shared" si="5"/>
        <v>77</v>
      </c>
      <c r="H11" s="1065">
        <f t="shared" si="6"/>
        <v>78</v>
      </c>
      <c r="I11" s="1065">
        <f t="shared" si="7"/>
        <v>62</v>
      </c>
      <c r="J11" s="1065">
        <f t="shared" si="8"/>
        <v>73</v>
      </c>
      <c r="K11" s="1065">
        <f t="shared" si="9"/>
        <v>61</v>
      </c>
      <c r="L11" s="1065">
        <f t="shared" si="10"/>
        <v>61</v>
      </c>
      <c r="M11" s="1065">
        <f t="shared" si="11"/>
        <v>63</v>
      </c>
      <c r="N11" s="1065">
        <f t="shared" si="12"/>
        <v>77</v>
      </c>
      <c r="O11" s="1242">
        <f t="shared" si="13"/>
        <v>22.05315962151111</v>
      </c>
      <c r="P11" s="1242">
        <f t="shared" si="14"/>
        <v>-6.0313421629443198E-2</v>
      </c>
      <c r="Q11" s="668"/>
      <c r="S11" s="700" t="s">
        <v>1454</v>
      </c>
      <c r="T11" s="700" t="s">
        <v>296</v>
      </c>
      <c r="U11" s="701">
        <v>64658</v>
      </c>
      <c r="V11" s="701">
        <v>74069</v>
      </c>
      <c r="W11" s="701">
        <v>91462</v>
      </c>
      <c r="X11" s="702">
        <v>92559</v>
      </c>
      <c r="Y11" s="702">
        <v>80650</v>
      </c>
      <c r="Z11" s="702">
        <v>67658</v>
      </c>
      <c r="AA11" s="702">
        <v>88782</v>
      </c>
      <c r="AB11" s="703">
        <v>56487</v>
      </c>
      <c r="AC11" s="702">
        <v>65644</v>
      </c>
      <c r="AD11" s="702">
        <v>64666</v>
      </c>
      <c r="AE11" s="704">
        <v>83448</v>
      </c>
      <c r="AF11" s="705">
        <f t="shared" si="15"/>
        <v>29.044629326075523</v>
      </c>
      <c r="AG11" s="706">
        <f t="shared" si="16"/>
        <v>2.5839379458425071</v>
      </c>
    </row>
    <row r="12" spans="1:33" ht="18" customHeight="1">
      <c r="A12" s="668"/>
      <c r="B12" s="2193" t="s">
        <v>1515</v>
      </c>
      <c r="C12" s="2181"/>
      <c r="D12" s="1066">
        <f t="shared" si="2"/>
        <v>118</v>
      </c>
      <c r="E12" s="1066">
        <f t="shared" si="3"/>
        <v>122</v>
      </c>
      <c r="F12" s="1066">
        <f t="shared" si="4"/>
        <v>135</v>
      </c>
      <c r="G12" s="1066">
        <f t="shared" si="5"/>
        <v>116</v>
      </c>
      <c r="H12" s="1066">
        <f t="shared" si="6"/>
        <v>111</v>
      </c>
      <c r="I12" s="1066">
        <f t="shared" si="7"/>
        <v>87</v>
      </c>
      <c r="J12" s="1066">
        <f t="shared" si="8"/>
        <v>104</v>
      </c>
      <c r="K12" s="1066">
        <f t="shared" si="9"/>
        <v>84</v>
      </c>
      <c r="L12" s="1066">
        <f t="shared" si="10"/>
        <v>114</v>
      </c>
      <c r="M12" s="1066">
        <f t="shared" si="11"/>
        <v>81</v>
      </c>
      <c r="N12" s="1066">
        <f t="shared" si="12"/>
        <v>71</v>
      </c>
      <c r="O12" s="1147">
        <f t="shared" si="13"/>
        <v>-11.928896543240253</v>
      </c>
      <c r="P12" s="1147">
        <f t="shared" si="14"/>
        <v>-4.9084375519784622</v>
      </c>
      <c r="Q12" s="668"/>
      <c r="S12" s="707" t="s">
        <v>1728</v>
      </c>
      <c r="T12" s="707" t="s">
        <v>1734</v>
      </c>
      <c r="U12" s="708">
        <v>77473</v>
      </c>
      <c r="V12" s="708">
        <v>57130</v>
      </c>
      <c r="W12" s="708">
        <v>73921</v>
      </c>
      <c r="X12" s="709">
        <v>77268</v>
      </c>
      <c r="Y12" s="709">
        <v>78454</v>
      </c>
      <c r="Z12" s="709">
        <v>62940</v>
      </c>
      <c r="AA12" s="709">
        <v>73460</v>
      </c>
      <c r="AB12" s="710">
        <v>61352</v>
      </c>
      <c r="AC12" s="709">
        <v>61170</v>
      </c>
      <c r="AD12" s="709">
        <v>63093</v>
      </c>
      <c r="AE12" s="711">
        <v>77007</v>
      </c>
      <c r="AF12" s="705">
        <f t="shared" si="15"/>
        <v>22.05315962151111</v>
      </c>
      <c r="AG12" s="706">
        <f t="shared" si="16"/>
        <v>-6.0313421629443198E-2</v>
      </c>
    </row>
    <row r="13" spans="1:33" ht="18" customHeight="1">
      <c r="A13" s="668"/>
      <c r="B13" s="2195" t="s">
        <v>1516</v>
      </c>
      <c r="C13" s="2177"/>
      <c r="D13" s="1065">
        <f t="shared" ref="D13:N15" si="17">IF(U14="-","-",ROUNDDOWN(U14/1000,0))</f>
        <v>31</v>
      </c>
      <c r="E13" s="1065">
        <f t="shared" si="17"/>
        <v>32</v>
      </c>
      <c r="F13" s="1065">
        <f t="shared" si="17"/>
        <v>44</v>
      </c>
      <c r="G13" s="1065">
        <f t="shared" si="17"/>
        <v>60</v>
      </c>
      <c r="H13" s="1065">
        <f t="shared" si="17"/>
        <v>60</v>
      </c>
      <c r="I13" s="1065">
        <f t="shared" si="17"/>
        <v>50</v>
      </c>
      <c r="J13" s="1065">
        <f t="shared" si="17"/>
        <v>63</v>
      </c>
      <c r="K13" s="1065">
        <f t="shared" si="17"/>
        <v>46</v>
      </c>
      <c r="L13" s="1065">
        <f t="shared" si="17"/>
        <v>79</v>
      </c>
      <c r="M13" s="1065">
        <f t="shared" si="17"/>
        <v>111</v>
      </c>
      <c r="N13" s="1065">
        <f t="shared" si="17"/>
        <v>66</v>
      </c>
      <c r="O13" s="1242">
        <f t="shared" ref="O13:P15" si="18">AF14</f>
        <v>-40.507950727883532</v>
      </c>
      <c r="P13" s="1242">
        <f t="shared" si="18"/>
        <v>7.6807420304700447</v>
      </c>
      <c r="Q13" s="668"/>
      <c r="S13" s="707" t="s">
        <v>1729</v>
      </c>
      <c r="T13" s="707" t="s">
        <v>53</v>
      </c>
      <c r="U13" s="708">
        <v>118427</v>
      </c>
      <c r="V13" s="708">
        <v>122329</v>
      </c>
      <c r="W13" s="708">
        <v>135509</v>
      </c>
      <c r="X13" s="709">
        <v>116253</v>
      </c>
      <c r="Y13" s="709">
        <v>111806</v>
      </c>
      <c r="Z13" s="709">
        <v>87999</v>
      </c>
      <c r="AA13" s="709">
        <v>104954</v>
      </c>
      <c r="AB13" s="710">
        <v>84083</v>
      </c>
      <c r="AC13" s="709">
        <v>114252</v>
      </c>
      <c r="AD13" s="709">
        <v>81290</v>
      </c>
      <c r="AE13" s="711">
        <v>71593</v>
      </c>
      <c r="AF13" s="712">
        <f t="shared" si="15"/>
        <v>-11.928896543240253</v>
      </c>
      <c r="AG13" s="713">
        <f t="shared" si="16"/>
        <v>-4.9084375519784622</v>
      </c>
    </row>
    <row r="14" spans="1:33" ht="18" customHeight="1">
      <c r="A14" s="668"/>
      <c r="B14" s="2254" t="s">
        <v>1256</v>
      </c>
      <c r="C14" s="2181"/>
      <c r="D14" s="1066">
        <f t="shared" si="17"/>
        <v>733</v>
      </c>
      <c r="E14" s="1066">
        <f t="shared" si="17"/>
        <v>663</v>
      </c>
      <c r="F14" s="1066">
        <f t="shared" si="17"/>
        <v>691</v>
      </c>
      <c r="G14" s="1066">
        <f t="shared" si="17"/>
        <v>699</v>
      </c>
      <c r="H14" s="1066">
        <f t="shared" si="17"/>
        <v>614</v>
      </c>
      <c r="I14" s="1066">
        <f t="shared" si="17"/>
        <v>480</v>
      </c>
      <c r="J14" s="1066">
        <f t="shared" si="17"/>
        <v>536</v>
      </c>
      <c r="K14" s="1066">
        <f t="shared" si="17"/>
        <v>553</v>
      </c>
      <c r="L14" s="1066">
        <f t="shared" si="17"/>
        <v>717</v>
      </c>
      <c r="M14" s="1066">
        <f t="shared" si="17"/>
        <v>748</v>
      </c>
      <c r="N14" s="1066">
        <f t="shared" si="17"/>
        <v>855</v>
      </c>
      <c r="O14" s="1147">
        <f t="shared" si="18"/>
        <v>14.297188432990415</v>
      </c>
      <c r="P14" s="1147">
        <f t="shared" si="18"/>
        <v>1.5441841853756522</v>
      </c>
      <c r="Q14" s="668"/>
      <c r="S14" s="700" t="s">
        <v>1455</v>
      </c>
      <c r="T14" s="700" t="s">
        <v>1741</v>
      </c>
      <c r="U14" s="701">
        <v>31684</v>
      </c>
      <c r="V14" s="701">
        <v>32179</v>
      </c>
      <c r="W14" s="701">
        <v>44057</v>
      </c>
      <c r="X14" s="702">
        <v>60957</v>
      </c>
      <c r="Y14" s="702">
        <v>60132</v>
      </c>
      <c r="Z14" s="702">
        <v>50927</v>
      </c>
      <c r="AA14" s="702">
        <v>63509</v>
      </c>
      <c r="AB14" s="703">
        <v>46229</v>
      </c>
      <c r="AC14" s="702">
        <v>79765</v>
      </c>
      <c r="AD14" s="702">
        <v>111625</v>
      </c>
      <c r="AE14" s="704">
        <v>66408</v>
      </c>
      <c r="AF14" s="705">
        <f t="shared" si="15"/>
        <v>-40.507950727883532</v>
      </c>
      <c r="AG14" s="706">
        <f t="shared" si="16"/>
        <v>7.6807420304700447</v>
      </c>
    </row>
    <row r="15" spans="1:33" ht="18" customHeight="1">
      <c r="A15" s="668"/>
      <c r="B15" s="2255" t="s">
        <v>1257</v>
      </c>
      <c r="C15" s="2256"/>
      <c r="D15" s="1076">
        <f t="shared" si="17"/>
        <v>1254</v>
      </c>
      <c r="E15" s="1076">
        <f t="shared" si="17"/>
        <v>1187</v>
      </c>
      <c r="F15" s="1076">
        <f t="shared" si="17"/>
        <v>1297</v>
      </c>
      <c r="G15" s="1076">
        <f t="shared" si="17"/>
        <v>1326</v>
      </c>
      <c r="H15" s="1076">
        <f t="shared" si="17"/>
        <v>1295</v>
      </c>
      <c r="I15" s="1076">
        <f t="shared" si="17"/>
        <v>1062</v>
      </c>
      <c r="J15" s="1076">
        <f t="shared" si="17"/>
        <v>1224</v>
      </c>
      <c r="K15" s="1076">
        <f t="shared" si="17"/>
        <v>1237</v>
      </c>
      <c r="L15" s="1076">
        <f t="shared" si="17"/>
        <v>1542</v>
      </c>
      <c r="M15" s="1076">
        <f t="shared" si="17"/>
        <v>1572</v>
      </c>
      <c r="N15" s="1076">
        <f t="shared" si="17"/>
        <v>1713</v>
      </c>
      <c r="O15" s="1819">
        <f t="shared" si="18"/>
        <v>8.9262892045216091</v>
      </c>
      <c r="P15" s="1819">
        <f t="shared" si="18"/>
        <v>3.1682181471399229</v>
      </c>
      <c r="Q15" s="714"/>
      <c r="S15" s="707" t="s">
        <v>1737</v>
      </c>
      <c r="T15" s="707" t="s">
        <v>1738</v>
      </c>
      <c r="U15" s="708">
        <v>733738</v>
      </c>
      <c r="V15" s="715">
        <v>663350</v>
      </c>
      <c r="W15" s="715">
        <v>691834</v>
      </c>
      <c r="X15" s="715">
        <v>699204</v>
      </c>
      <c r="Y15" s="715">
        <v>614859</v>
      </c>
      <c r="Z15" s="715">
        <v>480718</v>
      </c>
      <c r="AA15" s="715">
        <v>536339</v>
      </c>
      <c r="AB15" s="715">
        <v>553768</v>
      </c>
      <c r="AC15" s="715">
        <v>717689</v>
      </c>
      <c r="AD15" s="716">
        <v>748266</v>
      </c>
      <c r="AE15" s="711">
        <v>855247</v>
      </c>
      <c r="AF15" s="712">
        <f>(AE15/AD15-1)*100</f>
        <v>14.297188432990415</v>
      </c>
      <c r="AG15" s="713">
        <f>((AE15/U15)^(1/10)-1)*100</f>
        <v>1.5441841853756522</v>
      </c>
    </row>
    <row r="16" spans="1:33" ht="12" customHeight="1" thickBot="1">
      <c r="A16" s="668"/>
      <c r="B16" s="1786" t="s">
        <v>538</v>
      </c>
      <c r="C16" s="668"/>
      <c r="D16" s="714"/>
      <c r="E16" s="714"/>
      <c r="F16" s="714"/>
      <c r="G16" s="714"/>
      <c r="H16" s="714"/>
      <c r="I16" s="714"/>
      <c r="J16" s="714"/>
      <c r="K16" s="714"/>
      <c r="L16" s="714"/>
      <c r="M16" s="714"/>
      <c r="N16" s="714"/>
      <c r="O16" s="714"/>
      <c r="P16" s="714"/>
      <c r="Q16" s="714"/>
      <c r="S16" s="675" t="s">
        <v>1740</v>
      </c>
      <c r="T16" s="675"/>
      <c r="U16" s="717">
        <v>1254074</v>
      </c>
      <c r="V16" s="717">
        <v>1187710</v>
      </c>
      <c r="W16" s="717">
        <v>1297708</v>
      </c>
      <c r="X16" s="718">
        <v>1326619</v>
      </c>
      <c r="Y16" s="718">
        <v>1295885</v>
      </c>
      <c r="Z16" s="718">
        <v>1062093</v>
      </c>
      <c r="AA16" s="718">
        <v>1224954</v>
      </c>
      <c r="AB16" s="718">
        <v>1237814</v>
      </c>
      <c r="AC16" s="718">
        <v>1542798</v>
      </c>
      <c r="AD16" s="719">
        <v>1572714</v>
      </c>
      <c r="AE16" s="720">
        <v>1713099</v>
      </c>
      <c r="AF16" s="721">
        <f>(AE16/AD16-1)*100</f>
        <v>8.9262892045216091</v>
      </c>
      <c r="AG16" s="722">
        <f>((AE16/U16)^(1/10)-1)*100</f>
        <v>3.1682181471399229</v>
      </c>
    </row>
    <row r="17" spans="1:33" ht="8.1" customHeight="1">
      <c r="A17" s="668"/>
      <c r="B17" s="1786" t="s">
        <v>1253</v>
      </c>
      <c r="C17" s="668"/>
      <c r="D17" s="714"/>
      <c r="E17" s="714"/>
      <c r="F17" s="714"/>
      <c r="G17" s="714"/>
      <c r="H17" s="714"/>
      <c r="I17" s="714"/>
      <c r="J17" s="714"/>
      <c r="K17" s="714"/>
      <c r="L17" s="714"/>
      <c r="M17" s="714"/>
      <c r="N17" s="714"/>
      <c r="O17" s="714"/>
      <c r="P17" s="714"/>
      <c r="Q17" s="714"/>
      <c r="AG17" s="723"/>
    </row>
    <row r="18" spans="1:33" ht="13.5" customHeight="1">
      <c r="A18" s="668"/>
      <c r="B18" s="668"/>
      <c r="C18" s="668"/>
      <c r="D18" s="714"/>
      <c r="E18" s="714"/>
      <c r="F18" s="714"/>
      <c r="G18" s="714"/>
      <c r="H18" s="714"/>
      <c r="I18" s="714"/>
      <c r="J18" s="714"/>
      <c r="K18" s="714"/>
      <c r="L18" s="714"/>
      <c r="M18" s="714"/>
      <c r="N18" s="714"/>
      <c r="O18" s="714"/>
      <c r="P18" s="714"/>
      <c r="Q18" s="714"/>
    </row>
    <row r="19" spans="1:33" ht="13.5" customHeight="1">
      <c r="A19" s="668"/>
      <c r="B19" s="668"/>
      <c r="C19" s="668"/>
      <c r="D19" s="714"/>
      <c r="E19" s="714"/>
      <c r="F19" s="714"/>
      <c r="G19" s="714"/>
      <c r="H19" s="714"/>
      <c r="I19" s="714"/>
      <c r="J19" s="714"/>
      <c r="K19" s="714"/>
      <c r="L19" s="714"/>
      <c r="M19" s="714"/>
      <c r="N19" s="714"/>
      <c r="O19" s="714"/>
      <c r="P19" s="714"/>
      <c r="Q19" s="714"/>
    </row>
    <row r="20" spans="1:33" ht="13.5" customHeight="1" thickBot="1">
      <c r="A20" s="668"/>
      <c r="B20" s="668"/>
      <c r="C20" s="668"/>
      <c r="D20" s="714"/>
      <c r="E20" s="714"/>
      <c r="F20" s="714"/>
      <c r="G20" s="714"/>
      <c r="H20" s="714"/>
      <c r="I20" s="714"/>
      <c r="J20" s="714"/>
      <c r="K20" s="714"/>
      <c r="L20" s="714"/>
      <c r="M20" s="714"/>
      <c r="N20" s="714"/>
      <c r="O20" s="714"/>
      <c r="P20" s="714"/>
      <c r="Q20" s="714"/>
      <c r="S20" s="675" t="s">
        <v>539</v>
      </c>
      <c r="T20" s="676"/>
      <c r="U20" s="676"/>
      <c r="V20" s="676"/>
      <c r="W20" s="676"/>
      <c r="X20" s="676"/>
      <c r="Y20" s="676"/>
      <c r="Z20" s="676"/>
      <c r="AA20" s="676"/>
      <c r="AB20" s="676"/>
      <c r="AC20" s="676"/>
      <c r="AD20" s="676"/>
    </row>
    <row r="21" spans="1:33" ht="15" customHeight="1">
      <c r="A21" s="668"/>
      <c r="B21" s="668"/>
      <c r="C21" s="668"/>
      <c r="D21" s="714"/>
      <c r="E21" s="714"/>
      <c r="F21" s="714"/>
      <c r="G21" s="714"/>
      <c r="H21" s="714"/>
      <c r="I21" s="714"/>
      <c r="J21" s="714"/>
      <c r="K21" s="714"/>
      <c r="L21" s="714"/>
      <c r="M21" s="714"/>
      <c r="N21" s="714"/>
      <c r="O21" s="714"/>
      <c r="P21" s="714"/>
      <c r="Q21" s="714"/>
      <c r="S21" s="2257"/>
      <c r="T21" s="1787"/>
      <c r="U21" s="2252">
        <f t="shared" ref="U21:AE21" si="19">U5</f>
        <v>2015</v>
      </c>
      <c r="V21" s="2252">
        <f t="shared" si="19"/>
        <v>2016</v>
      </c>
      <c r="W21" s="2252">
        <f t="shared" si="19"/>
        <v>2017</v>
      </c>
      <c r="X21" s="2252">
        <f t="shared" si="19"/>
        <v>2018</v>
      </c>
      <c r="Y21" s="2252">
        <f t="shared" si="19"/>
        <v>2019</v>
      </c>
      <c r="Z21" s="2252">
        <f t="shared" si="19"/>
        <v>2020</v>
      </c>
      <c r="AA21" s="2252">
        <f t="shared" si="19"/>
        <v>2021</v>
      </c>
      <c r="AB21" s="2252">
        <f t="shared" si="19"/>
        <v>2022</v>
      </c>
      <c r="AC21" s="2252">
        <f t="shared" si="19"/>
        <v>2023</v>
      </c>
      <c r="AD21" s="2248">
        <f t="shared" si="19"/>
        <v>2024</v>
      </c>
      <c r="AE21" s="2250">
        <f t="shared" si="19"/>
        <v>2025</v>
      </c>
      <c r="AF21" s="724" t="str">
        <f t="shared" ref="AF21:AG21" si="20">AF5</f>
        <v>増減率</v>
      </c>
      <c r="AG21" s="724" t="str">
        <f t="shared" si="20"/>
        <v>過去10年
平均増減率</v>
      </c>
    </row>
    <row r="22" spans="1:33" ht="15" customHeight="1">
      <c r="A22" s="668"/>
      <c r="B22" s="668"/>
      <c r="C22" s="668"/>
      <c r="D22" s="714"/>
      <c r="E22" s="714"/>
      <c r="F22" s="714"/>
      <c r="G22" s="714"/>
      <c r="H22" s="714"/>
      <c r="I22" s="714"/>
      <c r="J22" s="714"/>
      <c r="K22" s="714"/>
      <c r="L22" s="714"/>
      <c r="M22" s="714"/>
      <c r="N22" s="714"/>
      <c r="O22" s="714"/>
      <c r="P22" s="714"/>
      <c r="Q22" s="668"/>
      <c r="S22" s="2258"/>
      <c r="T22" s="1788"/>
      <c r="U22" s="2253"/>
      <c r="V22" s="2253"/>
      <c r="W22" s="2253"/>
      <c r="X22" s="2253"/>
      <c r="Y22" s="2253"/>
      <c r="Z22" s="2253"/>
      <c r="AA22" s="2253"/>
      <c r="AB22" s="2253"/>
      <c r="AC22" s="2253"/>
      <c r="AD22" s="2249"/>
      <c r="AE22" s="2251"/>
      <c r="AF22" s="725"/>
      <c r="AG22" s="725"/>
    </row>
    <row r="23" spans="1:33" ht="15" customHeight="1">
      <c r="A23" s="668"/>
      <c r="B23" s="668"/>
      <c r="C23" s="668"/>
      <c r="D23" s="1789"/>
      <c r="E23" s="1789"/>
      <c r="F23" s="1789"/>
      <c r="G23" s="1789"/>
      <c r="H23" s="1789"/>
      <c r="I23" s="1789"/>
      <c r="J23" s="1789"/>
      <c r="K23" s="1789"/>
      <c r="L23" s="1789"/>
      <c r="M23" s="1789"/>
      <c r="N23" s="714"/>
      <c r="O23" s="714"/>
      <c r="P23" s="714"/>
      <c r="Q23" s="668"/>
      <c r="S23" s="726" t="str">
        <f>S8&amp;"　"&amp;T8</f>
        <v>アラブ首長国連邦　UAE</v>
      </c>
      <c r="T23" s="726"/>
      <c r="U23" s="727">
        <f t="shared" ref="U23:AE23" si="21">U8</f>
        <v>136212</v>
      </c>
      <c r="V23" s="727">
        <f t="shared" si="21"/>
        <v>151001</v>
      </c>
      <c r="W23" s="727">
        <f t="shared" si="21"/>
        <v>144323</v>
      </c>
      <c r="X23" s="727">
        <f t="shared" si="21"/>
        <v>126706</v>
      </c>
      <c r="Y23" s="727">
        <f t="shared" si="21"/>
        <v>171505</v>
      </c>
      <c r="Z23" s="727">
        <f t="shared" si="21"/>
        <v>135932</v>
      </c>
      <c r="AA23" s="727">
        <f t="shared" si="21"/>
        <v>133233</v>
      </c>
      <c r="AB23" s="728">
        <f t="shared" si="21"/>
        <v>150718</v>
      </c>
      <c r="AC23" s="727">
        <f t="shared" si="21"/>
        <v>204404</v>
      </c>
      <c r="AD23" s="729">
        <f t="shared" si="21"/>
        <v>226698</v>
      </c>
      <c r="AE23" s="730">
        <f t="shared" si="21"/>
        <v>253814</v>
      </c>
      <c r="AF23" s="731">
        <f>AF8</f>
        <v>11.961287704346745</v>
      </c>
      <c r="AG23" s="732">
        <f>AG8</f>
        <v>6.4216579081816327</v>
      </c>
    </row>
    <row r="24" spans="1:33" ht="15" customHeight="1">
      <c r="A24" s="668"/>
      <c r="B24" s="668"/>
      <c r="C24" s="668"/>
      <c r="D24" s="1789"/>
      <c r="E24" s="1789"/>
      <c r="F24" s="1789"/>
      <c r="G24" s="1789"/>
      <c r="H24" s="1789"/>
      <c r="I24" s="1789"/>
      <c r="J24" s="1789"/>
      <c r="K24" s="1789"/>
      <c r="L24" s="1789"/>
      <c r="M24" s="1789"/>
      <c r="N24" s="668"/>
      <c r="O24" s="668"/>
      <c r="P24" s="668"/>
      <c r="Q24" s="668"/>
      <c r="S24" s="733" t="str">
        <f t="shared" ref="S24:S28" si="22">S9&amp;"　"&amp;T9</f>
        <v>ロシア　Russia</v>
      </c>
      <c r="T24" s="733"/>
      <c r="U24" s="734">
        <f t="shared" ref="U24:AE24" si="23">U9</f>
        <v>49144</v>
      </c>
      <c r="V24" s="734">
        <f t="shared" si="23"/>
        <v>48244</v>
      </c>
      <c r="W24" s="734">
        <f t="shared" si="23"/>
        <v>69039</v>
      </c>
      <c r="X24" s="734">
        <f t="shared" si="23"/>
        <v>95074</v>
      </c>
      <c r="Y24" s="734">
        <f t="shared" si="23"/>
        <v>122597</v>
      </c>
      <c r="Z24" s="734">
        <f t="shared" si="23"/>
        <v>126418</v>
      </c>
      <c r="AA24" s="734">
        <f t="shared" si="23"/>
        <v>162249</v>
      </c>
      <c r="AB24" s="735">
        <f t="shared" si="23"/>
        <v>213526</v>
      </c>
      <c r="AC24" s="734">
        <f t="shared" si="23"/>
        <v>218191</v>
      </c>
      <c r="AD24" s="736">
        <f t="shared" si="23"/>
        <v>199098</v>
      </c>
      <c r="AE24" s="737">
        <f t="shared" si="23"/>
        <v>186583</v>
      </c>
      <c r="AF24" s="738">
        <f t="shared" ref="X24:AG31" si="24">AF9</f>
        <v>-6.2858491798009064</v>
      </c>
      <c r="AG24" s="739">
        <f t="shared" si="24"/>
        <v>14.272086414761453</v>
      </c>
    </row>
    <row r="25" spans="1:33" ht="15" customHeight="1">
      <c r="A25" s="668"/>
      <c r="B25" s="668"/>
      <c r="C25" s="668"/>
      <c r="D25" s="1789"/>
      <c r="E25" s="1789"/>
      <c r="F25" s="1789"/>
      <c r="G25" s="1789"/>
      <c r="H25" s="1789"/>
      <c r="I25" s="1789"/>
      <c r="J25" s="1789"/>
      <c r="K25" s="1789"/>
      <c r="L25" s="1789"/>
      <c r="M25" s="1789"/>
      <c r="N25" s="740"/>
      <c r="O25" s="740"/>
      <c r="P25" s="740"/>
      <c r="Q25" s="668"/>
      <c r="S25" s="733" t="str">
        <f t="shared" si="22"/>
        <v>タンザニア　Tanzania</v>
      </c>
      <c r="T25" s="733"/>
      <c r="U25" s="741">
        <f t="shared" ref="U25:AE25" si="25">U10</f>
        <v>42738</v>
      </c>
      <c r="V25" s="741">
        <f t="shared" si="25"/>
        <v>39408</v>
      </c>
      <c r="W25" s="741">
        <f t="shared" si="25"/>
        <v>47563</v>
      </c>
      <c r="X25" s="741">
        <f t="shared" si="25"/>
        <v>58598</v>
      </c>
      <c r="Y25" s="741">
        <f t="shared" si="25"/>
        <v>55882</v>
      </c>
      <c r="Z25" s="741">
        <f t="shared" si="25"/>
        <v>49501</v>
      </c>
      <c r="AA25" s="741">
        <f t="shared" si="25"/>
        <v>62428</v>
      </c>
      <c r="AB25" s="742">
        <f t="shared" si="25"/>
        <v>71651</v>
      </c>
      <c r="AC25" s="741">
        <f t="shared" si="25"/>
        <v>81683</v>
      </c>
      <c r="AD25" s="741">
        <f t="shared" si="25"/>
        <v>77978</v>
      </c>
      <c r="AE25" s="743">
        <f t="shared" si="25"/>
        <v>118999</v>
      </c>
      <c r="AF25" s="738">
        <f>AF10</f>
        <v>52.605863192182412</v>
      </c>
      <c r="AG25" s="739">
        <f>AG10</f>
        <v>10.78294644733151</v>
      </c>
    </row>
    <row r="26" spans="1:33" ht="15" customHeight="1">
      <c r="A26" s="668"/>
      <c r="B26" s="668"/>
      <c r="C26" s="668"/>
      <c r="D26" s="1789"/>
      <c r="E26" s="1789"/>
      <c r="F26" s="1789"/>
      <c r="G26" s="1789"/>
      <c r="H26" s="1789"/>
      <c r="I26" s="1789"/>
      <c r="J26" s="1789"/>
      <c r="K26" s="1789"/>
      <c r="L26" s="1789"/>
      <c r="M26" s="1789"/>
      <c r="N26" s="1789"/>
      <c r="O26" s="1789"/>
      <c r="P26" s="1789"/>
      <c r="Q26" s="668"/>
      <c r="S26" s="693" t="str">
        <f>S11&amp;"　"&amp;T11</f>
        <v>チリ　Chile</v>
      </c>
      <c r="T26" s="693"/>
      <c r="U26" s="744">
        <f t="shared" ref="U26:AE26" si="26">U11</f>
        <v>64658</v>
      </c>
      <c r="V26" s="744">
        <f t="shared" si="26"/>
        <v>74069</v>
      </c>
      <c r="W26" s="744">
        <f t="shared" si="26"/>
        <v>91462</v>
      </c>
      <c r="X26" s="744">
        <f t="shared" si="26"/>
        <v>92559</v>
      </c>
      <c r="Y26" s="744">
        <f t="shared" si="26"/>
        <v>80650</v>
      </c>
      <c r="Z26" s="744">
        <f t="shared" si="26"/>
        <v>67658</v>
      </c>
      <c r="AA26" s="744">
        <f t="shared" si="26"/>
        <v>88782</v>
      </c>
      <c r="AB26" s="745">
        <f t="shared" si="26"/>
        <v>56487</v>
      </c>
      <c r="AC26" s="744">
        <f t="shared" si="26"/>
        <v>65644</v>
      </c>
      <c r="AD26" s="744">
        <f t="shared" si="26"/>
        <v>64666</v>
      </c>
      <c r="AE26" s="746">
        <f t="shared" si="26"/>
        <v>83448</v>
      </c>
      <c r="AF26" s="747">
        <f t="shared" si="24"/>
        <v>29.044629326075523</v>
      </c>
      <c r="AG26" s="748">
        <f t="shared" si="24"/>
        <v>2.5839379458425071</v>
      </c>
    </row>
    <row r="27" spans="1:33" ht="15" customHeight="1">
      <c r="A27" s="668"/>
      <c r="B27" s="668"/>
      <c r="C27" s="668"/>
      <c r="D27" s="1789"/>
      <c r="E27" s="1789"/>
      <c r="F27" s="1789"/>
      <c r="G27" s="1789"/>
      <c r="H27" s="1789"/>
      <c r="I27" s="1789"/>
      <c r="J27" s="1789"/>
      <c r="K27" s="1789"/>
      <c r="L27" s="1789"/>
      <c r="M27" s="1789"/>
      <c r="N27" s="714"/>
      <c r="O27" s="714"/>
      <c r="P27" s="714"/>
      <c r="Q27" s="668"/>
      <c r="S27" s="700" t="str">
        <f t="shared" si="22"/>
        <v>ケニア　Kenya</v>
      </c>
      <c r="T27" s="700"/>
      <c r="U27" s="741">
        <f t="shared" ref="U27:AE27" si="27">U12</f>
        <v>77473</v>
      </c>
      <c r="V27" s="741">
        <f t="shared" si="27"/>
        <v>57130</v>
      </c>
      <c r="W27" s="741">
        <f t="shared" si="27"/>
        <v>73921</v>
      </c>
      <c r="X27" s="741">
        <f t="shared" si="27"/>
        <v>77268</v>
      </c>
      <c r="Y27" s="741">
        <f t="shared" si="27"/>
        <v>78454</v>
      </c>
      <c r="Z27" s="741">
        <f t="shared" si="27"/>
        <v>62940</v>
      </c>
      <c r="AA27" s="741">
        <f t="shared" si="27"/>
        <v>73460</v>
      </c>
      <c r="AB27" s="742">
        <f t="shared" si="27"/>
        <v>61352</v>
      </c>
      <c r="AC27" s="741">
        <f t="shared" si="27"/>
        <v>61170</v>
      </c>
      <c r="AD27" s="741">
        <f t="shared" si="27"/>
        <v>63093</v>
      </c>
      <c r="AE27" s="749">
        <f t="shared" si="27"/>
        <v>77007</v>
      </c>
      <c r="AF27" s="750">
        <f t="shared" si="24"/>
        <v>22.05315962151111</v>
      </c>
      <c r="AG27" s="751">
        <f t="shared" si="24"/>
        <v>-6.0313421629443198E-2</v>
      </c>
    </row>
    <row r="28" spans="1:33" ht="15" customHeight="1">
      <c r="A28" s="668"/>
      <c r="B28" s="668"/>
      <c r="C28" s="668"/>
      <c r="D28" s="1789"/>
      <c r="E28" s="1789"/>
      <c r="F28" s="1789"/>
      <c r="G28" s="1789"/>
      <c r="H28" s="1789"/>
      <c r="I28" s="1789"/>
      <c r="J28" s="1789"/>
      <c r="K28" s="1789"/>
      <c r="L28" s="1789"/>
      <c r="M28" s="1789"/>
      <c r="N28" s="714"/>
      <c r="O28" s="714"/>
      <c r="P28" s="714"/>
      <c r="Q28" s="668"/>
      <c r="S28" s="707" t="str">
        <f t="shared" si="22"/>
        <v>ニュージーランド　New Zealand</v>
      </c>
      <c r="T28" s="707"/>
      <c r="U28" s="752">
        <f t="shared" ref="U28:AE28" si="28">U13</f>
        <v>118427</v>
      </c>
      <c r="V28" s="752">
        <f t="shared" si="28"/>
        <v>122329</v>
      </c>
      <c r="W28" s="752">
        <f t="shared" si="28"/>
        <v>135509</v>
      </c>
      <c r="X28" s="752">
        <f t="shared" si="28"/>
        <v>116253</v>
      </c>
      <c r="Y28" s="752">
        <f t="shared" si="28"/>
        <v>111806</v>
      </c>
      <c r="Z28" s="752">
        <f t="shared" si="28"/>
        <v>87999</v>
      </c>
      <c r="AA28" s="752">
        <f t="shared" si="28"/>
        <v>104954</v>
      </c>
      <c r="AB28" s="753">
        <f t="shared" si="28"/>
        <v>84083</v>
      </c>
      <c r="AC28" s="752">
        <f t="shared" si="28"/>
        <v>114252</v>
      </c>
      <c r="AD28" s="752">
        <f t="shared" si="28"/>
        <v>81290</v>
      </c>
      <c r="AE28" s="754">
        <f t="shared" si="28"/>
        <v>71593</v>
      </c>
      <c r="AF28" s="755">
        <f t="shared" si="24"/>
        <v>-11.928896543240253</v>
      </c>
      <c r="AG28" s="756">
        <f t="shared" si="24"/>
        <v>-4.9084375519784622</v>
      </c>
    </row>
    <row r="29" spans="1:33" ht="15" customHeight="1">
      <c r="A29" s="668"/>
      <c r="B29" s="668"/>
      <c r="C29" s="668"/>
      <c r="D29" s="1789"/>
      <c r="E29" s="1789"/>
      <c r="F29" s="1789"/>
      <c r="G29" s="1789"/>
      <c r="H29" s="1789"/>
      <c r="I29" s="1789"/>
      <c r="J29" s="1789"/>
      <c r="K29" s="1789"/>
      <c r="L29" s="1789"/>
      <c r="M29" s="1789"/>
      <c r="N29" s="757"/>
      <c r="O29" s="757"/>
      <c r="P29" s="757"/>
      <c r="Q29" s="668"/>
      <c r="S29" s="700" t="str">
        <f t="shared" ref="S29:S30" si="29">S14&amp;"　"&amp;T14</f>
        <v>モンゴル　Mongolia</v>
      </c>
      <c r="T29" s="700"/>
      <c r="U29" s="741">
        <f t="shared" ref="U29:W31" si="30">U14</f>
        <v>31684</v>
      </c>
      <c r="V29" s="741">
        <f t="shared" si="30"/>
        <v>32179</v>
      </c>
      <c r="W29" s="741">
        <f t="shared" si="30"/>
        <v>44057</v>
      </c>
      <c r="X29" s="741">
        <f t="shared" si="24"/>
        <v>60957</v>
      </c>
      <c r="Y29" s="741">
        <f t="shared" si="24"/>
        <v>60132</v>
      </c>
      <c r="Z29" s="741">
        <f t="shared" si="24"/>
        <v>50927</v>
      </c>
      <c r="AA29" s="741">
        <f t="shared" si="24"/>
        <v>63509</v>
      </c>
      <c r="AB29" s="742">
        <f t="shared" si="24"/>
        <v>46229</v>
      </c>
      <c r="AC29" s="741">
        <f t="shared" si="24"/>
        <v>79765</v>
      </c>
      <c r="AD29" s="741">
        <f t="shared" si="24"/>
        <v>111625</v>
      </c>
      <c r="AE29" s="749">
        <f t="shared" si="24"/>
        <v>66408</v>
      </c>
      <c r="AF29" s="750">
        <f t="shared" si="24"/>
        <v>-40.507950727883532</v>
      </c>
      <c r="AG29" s="751">
        <f t="shared" si="24"/>
        <v>7.6807420304700447</v>
      </c>
    </row>
    <row r="30" spans="1:33" ht="21.75" customHeight="1">
      <c r="A30" s="668"/>
      <c r="B30" s="668"/>
      <c r="C30" s="668"/>
      <c r="D30" s="1789"/>
      <c r="E30" s="1789"/>
      <c r="F30" s="1789"/>
      <c r="G30" s="1789"/>
      <c r="H30" s="1789"/>
      <c r="I30" s="1789"/>
      <c r="J30" s="1789"/>
      <c r="K30" s="1789"/>
      <c r="L30" s="1789"/>
      <c r="M30" s="1789"/>
      <c r="N30" s="668"/>
      <c r="O30" s="668"/>
      <c r="P30" s="668"/>
      <c r="Q30" s="668"/>
      <c r="S30" s="707" t="str">
        <f t="shared" si="29"/>
        <v>その他　Other</v>
      </c>
      <c r="T30" s="707"/>
      <c r="U30" s="752">
        <f t="shared" si="30"/>
        <v>733738</v>
      </c>
      <c r="V30" s="752">
        <f t="shared" si="30"/>
        <v>663350</v>
      </c>
      <c r="W30" s="752">
        <f t="shared" si="30"/>
        <v>691834</v>
      </c>
      <c r="X30" s="752">
        <f t="shared" si="24"/>
        <v>699204</v>
      </c>
      <c r="Y30" s="752">
        <f t="shared" si="24"/>
        <v>614859</v>
      </c>
      <c r="Z30" s="752">
        <f t="shared" si="24"/>
        <v>480718</v>
      </c>
      <c r="AA30" s="752">
        <f t="shared" si="24"/>
        <v>536339</v>
      </c>
      <c r="AB30" s="753">
        <f t="shared" si="24"/>
        <v>553768</v>
      </c>
      <c r="AC30" s="752">
        <f t="shared" si="24"/>
        <v>717689</v>
      </c>
      <c r="AD30" s="752">
        <f>AD15</f>
        <v>748266</v>
      </c>
      <c r="AE30" s="754">
        <f t="shared" si="24"/>
        <v>855247</v>
      </c>
      <c r="AF30" s="755">
        <f>AF15</f>
        <v>14.297188432990415</v>
      </c>
      <c r="AG30" s="756">
        <f>AG15</f>
        <v>1.5441841853756522</v>
      </c>
    </row>
    <row r="31" spans="1:33" ht="21.75" customHeight="1" thickBot="1">
      <c r="A31" s="668"/>
      <c r="B31" s="668"/>
      <c r="C31" s="668"/>
      <c r="D31" s="668"/>
      <c r="E31" s="668"/>
      <c r="F31" s="668"/>
      <c r="G31" s="668"/>
      <c r="H31" s="668"/>
      <c r="I31" s="668"/>
      <c r="J31" s="668"/>
      <c r="K31" s="668"/>
      <c r="L31" s="668"/>
      <c r="M31" s="668"/>
      <c r="N31" s="668"/>
      <c r="O31" s="668"/>
      <c r="P31" s="668"/>
      <c r="Q31" s="668"/>
      <c r="S31" s="758" t="str">
        <f>S16&amp;"/"&amp;T16</f>
        <v>合計/</v>
      </c>
      <c r="T31" s="675"/>
      <c r="U31" s="759">
        <f t="shared" si="30"/>
        <v>1254074</v>
      </c>
      <c r="V31" s="759">
        <f t="shared" si="30"/>
        <v>1187710</v>
      </c>
      <c r="W31" s="759">
        <f t="shared" si="30"/>
        <v>1297708</v>
      </c>
      <c r="X31" s="759">
        <f t="shared" si="24"/>
        <v>1326619</v>
      </c>
      <c r="Y31" s="759">
        <f t="shared" si="24"/>
        <v>1295885</v>
      </c>
      <c r="Z31" s="759">
        <f t="shared" si="24"/>
        <v>1062093</v>
      </c>
      <c r="AA31" s="759">
        <f t="shared" si="24"/>
        <v>1224954</v>
      </c>
      <c r="AB31" s="759">
        <f t="shared" si="24"/>
        <v>1237814</v>
      </c>
      <c r="AC31" s="759">
        <f t="shared" si="24"/>
        <v>1542798</v>
      </c>
      <c r="AD31" s="760">
        <f t="shared" si="24"/>
        <v>1572714</v>
      </c>
      <c r="AE31" s="761">
        <f>AE16</f>
        <v>1713099</v>
      </c>
      <c r="AF31" s="762">
        <f>AF16</f>
        <v>8.9262892045216091</v>
      </c>
      <c r="AG31" s="763">
        <f>AG16</f>
        <v>3.1682181471399229</v>
      </c>
    </row>
    <row r="32" spans="1:33" ht="27" customHeight="1"/>
    <row r="33" spans="2:32" ht="15" hidden="1" customHeight="1"/>
    <row r="34" spans="2:32" ht="15" hidden="1" customHeight="1">
      <c r="S34" s="675" t="s">
        <v>540</v>
      </c>
    </row>
    <row r="35" spans="2:32" ht="11.25" hidden="1" customHeight="1">
      <c r="S35" s="675"/>
      <c r="T35" s="675"/>
      <c r="U35" s="764">
        <f t="shared" ref="U35:AE35" si="31">U5</f>
        <v>2015</v>
      </c>
      <c r="V35" s="764">
        <f t="shared" si="31"/>
        <v>2016</v>
      </c>
      <c r="W35" s="764">
        <f t="shared" si="31"/>
        <v>2017</v>
      </c>
      <c r="X35" s="764">
        <f t="shared" si="31"/>
        <v>2018</v>
      </c>
      <c r="Y35" s="764">
        <f t="shared" si="31"/>
        <v>2019</v>
      </c>
      <c r="Z35" s="764">
        <f t="shared" si="31"/>
        <v>2020</v>
      </c>
      <c r="AA35" s="764">
        <f t="shared" si="31"/>
        <v>2021</v>
      </c>
      <c r="AB35" s="764">
        <f t="shared" si="31"/>
        <v>2022</v>
      </c>
      <c r="AC35" s="764">
        <f t="shared" si="31"/>
        <v>2023</v>
      </c>
      <c r="AD35" s="764">
        <f t="shared" si="31"/>
        <v>2024</v>
      </c>
      <c r="AE35" s="764">
        <f t="shared" si="31"/>
        <v>2025</v>
      </c>
      <c r="AF35" s="765" t="s">
        <v>541</v>
      </c>
    </row>
    <row r="36" spans="2:32" ht="15" hidden="1" customHeight="1">
      <c r="B36" s="669" t="s">
        <v>1511</v>
      </c>
      <c r="S36" s="675" t="s">
        <v>1725</v>
      </c>
      <c r="T36" s="675" t="s">
        <v>295</v>
      </c>
      <c r="U36" s="2162">
        <v>136212</v>
      </c>
      <c r="V36" s="2162">
        <v>151001</v>
      </c>
      <c r="W36" s="2162">
        <v>144323</v>
      </c>
      <c r="X36" s="2162">
        <v>126706</v>
      </c>
      <c r="Y36" s="2162">
        <v>171505</v>
      </c>
      <c r="Z36" s="2162">
        <v>135932</v>
      </c>
      <c r="AA36" s="2162">
        <v>133233</v>
      </c>
      <c r="AB36" s="2162">
        <v>150718</v>
      </c>
      <c r="AC36" s="2162">
        <v>204404</v>
      </c>
      <c r="AD36" s="2162">
        <v>226698</v>
      </c>
      <c r="AE36" s="2162">
        <v>253814</v>
      </c>
      <c r="AF36" s="766">
        <f t="shared" ref="AF36:AF42" si="32">RANK(AE36,$AE$36:$AE$42)</f>
        <v>1</v>
      </c>
    </row>
    <row r="37" spans="2:32" ht="15" hidden="1" customHeight="1">
      <c r="B37" s="669" t="s">
        <v>1509</v>
      </c>
      <c r="S37" s="675" t="s">
        <v>1726</v>
      </c>
      <c r="T37" s="675" t="s">
        <v>1731</v>
      </c>
      <c r="U37" s="2162">
        <v>49144</v>
      </c>
      <c r="V37" s="2162">
        <v>48244</v>
      </c>
      <c r="W37" s="2162">
        <v>69039</v>
      </c>
      <c r="X37" s="2162">
        <v>95074</v>
      </c>
      <c r="Y37" s="2162">
        <v>122597</v>
      </c>
      <c r="Z37" s="2162">
        <v>126418</v>
      </c>
      <c r="AA37" s="2162">
        <v>162249</v>
      </c>
      <c r="AB37" s="2162">
        <v>213526</v>
      </c>
      <c r="AC37" s="2162">
        <v>218191</v>
      </c>
      <c r="AD37" s="2162">
        <v>199098</v>
      </c>
      <c r="AE37" s="2162">
        <v>186583</v>
      </c>
      <c r="AF37" s="766">
        <f t="shared" si="32"/>
        <v>2</v>
      </c>
    </row>
    <row r="38" spans="2:32" ht="15" hidden="1" customHeight="1">
      <c r="B38" s="669" t="s">
        <v>1514</v>
      </c>
      <c r="M38" s="767"/>
      <c r="N38" s="767"/>
      <c r="O38" s="767"/>
      <c r="P38" s="767"/>
      <c r="S38" s="675" t="s">
        <v>1727</v>
      </c>
      <c r="T38" s="675" t="s">
        <v>1733</v>
      </c>
      <c r="U38" s="2162">
        <v>42738</v>
      </c>
      <c r="V38" s="2162">
        <v>39408</v>
      </c>
      <c r="W38" s="2162">
        <v>47563</v>
      </c>
      <c r="X38" s="2162">
        <v>58598</v>
      </c>
      <c r="Y38" s="2162">
        <v>55882</v>
      </c>
      <c r="Z38" s="2162">
        <v>49501</v>
      </c>
      <c r="AA38" s="2162">
        <v>62428</v>
      </c>
      <c r="AB38" s="2162">
        <v>71651</v>
      </c>
      <c r="AC38" s="2162">
        <v>81683</v>
      </c>
      <c r="AD38" s="2162">
        <v>77978</v>
      </c>
      <c r="AE38" s="2162">
        <v>118999</v>
      </c>
      <c r="AF38" s="766">
        <f t="shared" si="32"/>
        <v>3</v>
      </c>
    </row>
    <row r="39" spans="2:32" ht="15" hidden="1" customHeight="1">
      <c r="B39" s="669" t="s">
        <v>1513</v>
      </c>
      <c r="M39" s="767"/>
      <c r="N39" s="767"/>
      <c r="O39" s="767"/>
      <c r="P39" s="767"/>
      <c r="S39" s="675" t="s">
        <v>1454</v>
      </c>
      <c r="T39" s="675" t="s">
        <v>296</v>
      </c>
      <c r="U39" s="2162">
        <v>64658</v>
      </c>
      <c r="V39" s="2162">
        <v>74069</v>
      </c>
      <c r="W39" s="2162">
        <v>91462</v>
      </c>
      <c r="X39" s="2162">
        <v>92559</v>
      </c>
      <c r="Y39" s="2162">
        <v>80650</v>
      </c>
      <c r="Z39" s="2162">
        <v>67658</v>
      </c>
      <c r="AA39" s="2162">
        <v>88782</v>
      </c>
      <c r="AB39" s="2162">
        <v>56487</v>
      </c>
      <c r="AC39" s="2162">
        <v>65644</v>
      </c>
      <c r="AD39" s="2162">
        <v>64666</v>
      </c>
      <c r="AE39" s="2162">
        <v>83448</v>
      </c>
      <c r="AF39" s="766">
        <f t="shared" si="32"/>
        <v>4</v>
      </c>
    </row>
    <row r="40" spans="2:32" ht="15" hidden="1" customHeight="1">
      <c r="B40" s="669" t="s">
        <v>1507</v>
      </c>
      <c r="M40" s="767"/>
      <c r="N40" s="767"/>
      <c r="O40" s="767"/>
      <c r="P40" s="767"/>
      <c r="S40" s="1996" t="s">
        <v>1728</v>
      </c>
      <c r="T40" s="675" t="s">
        <v>1735</v>
      </c>
      <c r="U40" s="2162">
        <v>77473</v>
      </c>
      <c r="V40" s="2162">
        <v>57130</v>
      </c>
      <c r="W40" s="2162">
        <v>73921</v>
      </c>
      <c r="X40" s="2162">
        <v>77268</v>
      </c>
      <c r="Y40" s="2162">
        <v>78454</v>
      </c>
      <c r="Z40" s="2162">
        <v>62940</v>
      </c>
      <c r="AA40" s="2162">
        <v>73460</v>
      </c>
      <c r="AB40" s="2162">
        <v>61352</v>
      </c>
      <c r="AC40" s="2162">
        <v>61170</v>
      </c>
      <c r="AD40" s="2162">
        <v>63093</v>
      </c>
      <c r="AE40" s="2162">
        <v>77007</v>
      </c>
      <c r="AF40" s="766">
        <f t="shared" si="32"/>
        <v>5</v>
      </c>
    </row>
    <row r="41" spans="2:32" ht="15" hidden="1" customHeight="1">
      <c r="B41" s="669" t="s">
        <v>1508</v>
      </c>
      <c r="M41" s="767"/>
      <c r="N41" s="767"/>
      <c r="O41" s="767"/>
      <c r="P41" s="767"/>
      <c r="S41" s="675" t="s">
        <v>1729</v>
      </c>
      <c r="T41" s="675" t="s">
        <v>1736</v>
      </c>
      <c r="U41" s="2162">
        <v>118427</v>
      </c>
      <c r="V41" s="2162">
        <v>122329</v>
      </c>
      <c r="W41" s="2162">
        <v>135509</v>
      </c>
      <c r="X41" s="2162">
        <v>116253</v>
      </c>
      <c r="Y41" s="2162">
        <v>111806</v>
      </c>
      <c r="Z41" s="2162">
        <v>87999</v>
      </c>
      <c r="AA41" s="2162">
        <v>104954</v>
      </c>
      <c r="AB41" s="2162">
        <v>84083</v>
      </c>
      <c r="AC41" s="2162">
        <v>114252</v>
      </c>
      <c r="AD41" s="2162">
        <v>81290</v>
      </c>
      <c r="AE41" s="2162">
        <v>71593</v>
      </c>
      <c r="AF41" s="766">
        <f t="shared" si="32"/>
        <v>6</v>
      </c>
    </row>
    <row r="42" spans="2:32" ht="15" hidden="1" customHeight="1">
      <c r="M42" s="767"/>
      <c r="N42" s="767"/>
      <c r="O42" s="767"/>
      <c r="P42" s="767"/>
      <c r="S42" s="675" t="s">
        <v>1455</v>
      </c>
      <c r="T42" s="675" t="s">
        <v>378</v>
      </c>
      <c r="U42" s="2162">
        <v>31684</v>
      </c>
      <c r="V42" s="2162">
        <v>32179</v>
      </c>
      <c r="W42" s="2162">
        <v>44057</v>
      </c>
      <c r="X42" s="2162">
        <v>60957</v>
      </c>
      <c r="Y42" s="2162">
        <v>60132</v>
      </c>
      <c r="Z42" s="2162">
        <v>50927</v>
      </c>
      <c r="AA42" s="2162">
        <v>63509</v>
      </c>
      <c r="AB42" s="2162">
        <v>46229</v>
      </c>
      <c r="AC42" s="2163">
        <v>79765</v>
      </c>
      <c r="AD42" s="2163">
        <v>111625</v>
      </c>
      <c r="AE42" s="2163">
        <v>66408</v>
      </c>
      <c r="AF42" s="766">
        <f t="shared" si="32"/>
        <v>7</v>
      </c>
    </row>
    <row r="43" spans="2:32" ht="15" hidden="1" customHeight="1">
      <c r="M43" s="767"/>
      <c r="N43" s="767"/>
      <c r="O43" s="767"/>
      <c r="P43" s="767"/>
      <c r="S43" s="11" t="s">
        <v>1737</v>
      </c>
      <c r="T43" s="675" t="s">
        <v>1739</v>
      </c>
      <c r="U43" s="2162">
        <f>U44-SUM(U36:U42)</f>
        <v>733738</v>
      </c>
      <c r="V43" s="2162">
        <f t="shared" ref="V43:AE43" si="33">V44-SUM(V36:V42)</f>
        <v>663350</v>
      </c>
      <c r="W43" s="2162">
        <f t="shared" si="33"/>
        <v>691834</v>
      </c>
      <c r="X43" s="2162">
        <f t="shared" si="33"/>
        <v>699204</v>
      </c>
      <c r="Y43" s="2162">
        <f t="shared" si="33"/>
        <v>614859</v>
      </c>
      <c r="Z43" s="2162">
        <f t="shared" si="33"/>
        <v>480718</v>
      </c>
      <c r="AA43" s="2162">
        <f t="shared" si="33"/>
        <v>536339</v>
      </c>
      <c r="AB43" s="2162">
        <f t="shared" si="33"/>
        <v>553768</v>
      </c>
      <c r="AC43" s="2162">
        <f t="shared" si="33"/>
        <v>717689</v>
      </c>
      <c r="AD43" s="2162">
        <f t="shared" si="33"/>
        <v>748266</v>
      </c>
      <c r="AE43" s="2162">
        <f t="shared" si="33"/>
        <v>855247</v>
      </c>
      <c r="AF43" s="766"/>
    </row>
    <row r="44" spans="2:32" ht="15" hidden="1" customHeight="1">
      <c r="S44" s="1996" t="s">
        <v>1740</v>
      </c>
      <c r="T44" s="675"/>
      <c r="U44" s="2162">
        <v>1254074</v>
      </c>
      <c r="V44" s="2162">
        <v>1187710</v>
      </c>
      <c r="W44" s="2162">
        <v>1297708</v>
      </c>
      <c r="X44" s="2162">
        <v>1326619</v>
      </c>
      <c r="Y44" s="2162">
        <v>1295885</v>
      </c>
      <c r="Z44" s="2162">
        <v>1062093</v>
      </c>
      <c r="AA44" s="2162">
        <v>1224954</v>
      </c>
      <c r="AB44" s="2162">
        <v>1237814</v>
      </c>
      <c r="AC44" s="2162">
        <v>1542798</v>
      </c>
      <c r="AD44" s="2162">
        <v>1572714</v>
      </c>
      <c r="AE44" s="2162">
        <v>1713099</v>
      </c>
      <c r="AF44" s="766"/>
    </row>
    <row r="45" spans="2:32" hidden="1">
      <c r="S45" s="1996"/>
      <c r="T45" s="675"/>
      <c r="U45" s="675"/>
      <c r="V45" s="675"/>
      <c r="W45" s="675"/>
      <c r="X45" s="675"/>
      <c r="Y45" s="675"/>
      <c r="Z45" s="675"/>
      <c r="AA45" s="675"/>
      <c r="AB45" s="675"/>
      <c r="AC45" s="675"/>
      <c r="AD45" s="675"/>
      <c r="AE45" s="675"/>
      <c r="AF45" s="766"/>
    </row>
    <row r="46" spans="2:32" hidden="1">
      <c r="S46" s="675"/>
      <c r="T46" s="675"/>
      <c r="U46" s="675"/>
      <c r="V46" s="675"/>
      <c r="W46" s="675"/>
      <c r="X46" s="675"/>
      <c r="Y46" s="675"/>
      <c r="Z46" s="675"/>
      <c r="AA46" s="675"/>
      <c r="AB46" s="675"/>
      <c r="AC46" s="675"/>
      <c r="AD46" s="675"/>
      <c r="AE46" s="675"/>
      <c r="AF46" s="768"/>
    </row>
    <row r="47" spans="2:32" hidden="1">
      <c r="S47" s="11"/>
      <c r="T47" s="675"/>
      <c r="U47" s="675"/>
      <c r="V47" s="675"/>
      <c r="W47" s="675"/>
      <c r="X47" s="675"/>
      <c r="Y47" s="675"/>
      <c r="Z47" s="675"/>
      <c r="AA47" s="675"/>
      <c r="AB47" s="675"/>
      <c r="AC47" s="675"/>
      <c r="AD47" s="675"/>
      <c r="AE47" s="675"/>
      <c r="AF47" s="766"/>
    </row>
    <row r="48" spans="2:32" hidden="1"/>
    <row r="49" spans="19:26" hidden="1"/>
    <row r="50" spans="19:26" hidden="1"/>
    <row r="51" spans="19:26" hidden="1"/>
    <row r="52" spans="19:26" hidden="1">
      <c r="S52" s="769" t="s">
        <v>542</v>
      </c>
      <c r="T52" s="770"/>
    </row>
    <row r="53" spans="19:26" hidden="1">
      <c r="S53" s="2096" t="s">
        <v>1742</v>
      </c>
    </row>
    <row r="54" spans="19:26" hidden="1">
      <c r="S54" s="2164" t="s">
        <v>1745</v>
      </c>
    </row>
    <row r="55" spans="19:26" hidden="1">
      <c r="S55" s="669" t="s">
        <v>543</v>
      </c>
    </row>
    <row r="56" spans="19:26" hidden="1"/>
    <row r="57" spans="19:26" hidden="1">
      <c r="S57" s="771" t="s">
        <v>544</v>
      </c>
      <c r="T57" s="772" t="s">
        <v>545</v>
      </c>
      <c r="U57" s="773"/>
      <c r="V57" s="773"/>
      <c r="W57" s="773"/>
      <c r="X57" s="773"/>
      <c r="Y57" s="773"/>
      <c r="Z57" s="774"/>
    </row>
    <row r="58" spans="19:26" hidden="1">
      <c r="S58" s="768"/>
      <c r="T58" s="669" t="s">
        <v>546</v>
      </c>
      <c r="Z58" s="775"/>
    </row>
    <row r="59" spans="19:26">
      <c r="S59" s="776"/>
      <c r="T59" s="676" t="s">
        <v>547</v>
      </c>
      <c r="U59" s="676"/>
      <c r="V59" s="676"/>
      <c r="W59" s="676"/>
      <c r="X59" s="676"/>
      <c r="Y59" s="676"/>
      <c r="Z59" s="777"/>
    </row>
  </sheetData>
  <sheetProtection algorithmName="SHA-512" hashValue="jBkpRB2RRxL01G7yvTJ+WcJPupPI28dncTY4VUSAJMDR5q7XjQeoDQNf3FkH0R2fVJN3DiWEq+F6JC5eNL0j7g==" saltValue="pPf0ZJGq1MpGK71MEImeGA==" spinCount="100000" sheet="1" objects="1" scenarios="1"/>
  <customSheetViews>
    <customSheetView guid="{06451E13-97D0-44F4-875B-E8D80B2F1CF1}" showPageBreaks="1" fitToPage="1" printArea="1" view="pageBreakPreview" topLeftCell="A22">
      <selection activeCell="O31" sqref="O31"/>
      <pageMargins left="0" right="0" top="0" bottom="0" header="0" footer="0"/>
      <printOptions horizontalCentered="1" verticalCentered="1"/>
      <pageSetup paperSize="9" orientation="landscape" r:id="rId1"/>
      <headerFooter scaleWithDoc="0" alignWithMargins="0">
        <oddFooter>&amp;C&amp;"Arial,標準"&amp;12 3</oddFooter>
      </headerFooter>
    </customSheetView>
  </customSheetViews>
  <mergeCells count="44">
    <mergeCell ref="Y5:Y7"/>
    <mergeCell ref="Z5:Z7"/>
    <mergeCell ref="I5:I6"/>
    <mergeCell ref="J5:J6"/>
    <mergeCell ref="K5:K6"/>
    <mergeCell ref="L5:L6"/>
    <mergeCell ref="M5:M6"/>
    <mergeCell ref="N5:N6"/>
    <mergeCell ref="B7:C7"/>
    <mergeCell ref="U5:U7"/>
    <mergeCell ref="V5:V7"/>
    <mergeCell ref="W5:W7"/>
    <mergeCell ref="X5:X7"/>
    <mergeCell ref="B5:C5"/>
    <mergeCell ref="D5:D6"/>
    <mergeCell ref="E5:E6"/>
    <mergeCell ref="F5:F6"/>
    <mergeCell ref="G5:G6"/>
    <mergeCell ref="H5:H6"/>
    <mergeCell ref="AA5:AA7"/>
    <mergeCell ref="AB5:AB7"/>
    <mergeCell ref="AC5:AC7"/>
    <mergeCell ref="AD5:AD7"/>
    <mergeCell ref="AE5:AE7"/>
    <mergeCell ref="W21:W22"/>
    <mergeCell ref="B8:C8"/>
    <mergeCell ref="B9:C9"/>
    <mergeCell ref="B10:C10"/>
    <mergeCell ref="B11:C11"/>
    <mergeCell ref="B12:C12"/>
    <mergeCell ref="B13:C13"/>
    <mergeCell ref="B14:C14"/>
    <mergeCell ref="B15:C15"/>
    <mergeCell ref="S21:S22"/>
    <mergeCell ref="U21:U22"/>
    <mergeCell ref="V21:V22"/>
    <mergeCell ref="AD21:AD22"/>
    <mergeCell ref="AE21:AE22"/>
    <mergeCell ref="X21:X22"/>
    <mergeCell ref="Y21:Y22"/>
    <mergeCell ref="Z21:Z22"/>
    <mergeCell ref="AA21:AA22"/>
    <mergeCell ref="AB21:AB22"/>
    <mergeCell ref="AC21:AC22"/>
  </mergeCells>
  <phoneticPr fontId="29"/>
  <hyperlinks>
    <hyperlink ref="T57" r:id="rId2"/>
  </hyperlinks>
  <printOptions horizontalCentered="1" verticalCentered="1"/>
  <pageMargins left="0" right="0" top="0" bottom="0" header="0" footer="0"/>
  <pageSetup paperSize="9" orientation="landscape" r:id="rId3"/>
  <headerFooter scaleWithDoc="0" alignWithMargins="0">
    <oddFooter>&amp;C&amp;"Arial,標準"&amp;12 3</oddFoot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9" tint="0.39997558519241921"/>
    <pageSetUpPr fitToPage="1"/>
  </sheetPr>
  <dimension ref="A1:AJ70"/>
  <sheetViews>
    <sheetView view="pageBreakPreview" zoomScaleNormal="90" zoomScaleSheetLayoutView="100" workbookViewId="0">
      <selection activeCell="BC13" sqref="BC13"/>
    </sheetView>
  </sheetViews>
  <sheetFormatPr defaultColWidth="9.140625" defaultRowHeight="12.75" outlineLevelRow="1"/>
  <cols>
    <col min="1" max="1" width="5" style="769" customWidth="1"/>
    <col min="2" max="2" width="18.85546875" style="769" customWidth="1"/>
    <col min="3" max="3" width="28.42578125" style="769" customWidth="1"/>
    <col min="4" max="16" width="7.42578125" style="769" customWidth="1"/>
    <col min="17" max="17" width="5" style="769" customWidth="1"/>
    <col min="18" max="18" width="9.42578125" style="769" hidden="1" customWidth="1"/>
    <col min="19" max="19" width="16.85546875" style="769" hidden="1" customWidth="1"/>
    <col min="20" max="30" width="10.42578125" style="769" hidden="1" customWidth="1"/>
    <col min="31" max="31" width="9.5703125" style="769" hidden="1" customWidth="1"/>
    <col min="32" max="32" width="11.140625" style="769" hidden="1" customWidth="1"/>
    <col min="33" max="52" width="0" style="769" hidden="1" customWidth="1"/>
    <col min="53" max="16384" width="9.140625" style="769"/>
  </cols>
  <sheetData>
    <row r="1" spans="1:36" ht="25.5" customHeight="1">
      <c r="A1" s="779"/>
      <c r="B1" s="779"/>
      <c r="C1" s="779"/>
      <c r="D1" s="779"/>
      <c r="E1" s="779"/>
      <c r="F1" s="779"/>
      <c r="G1" s="779"/>
      <c r="H1" s="779"/>
      <c r="I1" s="779"/>
      <c r="J1" s="779"/>
      <c r="K1" s="779"/>
      <c r="L1" s="779"/>
      <c r="M1" s="779"/>
      <c r="N1" s="779"/>
      <c r="O1" s="779"/>
      <c r="P1" s="779"/>
      <c r="Q1" s="779"/>
    </row>
    <row r="2" spans="1:36" ht="19.5" customHeight="1">
      <c r="A2" s="853"/>
      <c r="B2" s="781"/>
      <c r="C2" s="781"/>
      <c r="D2" s="779"/>
      <c r="E2" s="779"/>
      <c r="F2" s="779"/>
      <c r="G2" s="779"/>
      <c r="H2" s="779"/>
      <c r="I2" s="779"/>
      <c r="J2" s="779"/>
      <c r="K2" s="779"/>
      <c r="L2" s="779"/>
      <c r="M2" s="779"/>
      <c r="N2" s="779"/>
      <c r="O2" s="779"/>
      <c r="P2" s="779"/>
      <c r="Q2" s="779"/>
    </row>
    <row r="3" spans="1:36" ht="19.5" customHeight="1">
      <c r="A3" s="779"/>
      <c r="B3" s="779"/>
      <c r="C3" s="779"/>
      <c r="D3" s="779"/>
      <c r="E3" s="779"/>
      <c r="F3" s="779"/>
      <c r="G3" s="779"/>
      <c r="H3" s="779"/>
      <c r="I3" s="779"/>
      <c r="J3" s="779"/>
      <c r="K3" s="779"/>
      <c r="L3" s="779"/>
      <c r="M3" s="779"/>
      <c r="N3" s="779"/>
      <c r="O3" s="779"/>
      <c r="P3" s="779"/>
      <c r="Q3" s="779"/>
    </row>
    <row r="4" spans="1:36" ht="14.25" customHeight="1" thickBot="1">
      <c r="A4" s="779"/>
      <c r="B4" s="779"/>
      <c r="C4" s="779"/>
      <c r="D4" s="1792"/>
      <c r="E4" s="1792"/>
      <c r="F4" s="1792"/>
      <c r="G4" s="1792"/>
      <c r="H4" s="1792"/>
      <c r="I4" s="1792"/>
      <c r="J4" s="1792"/>
      <c r="K4" s="1792"/>
      <c r="L4" s="1792"/>
      <c r="M4" s="1792"/>
      <c r="N4" s="1792"/>
      <c r="O4" s="1792"/>
      <c r="P4" s="1075" t="s">
        <v>1711</v>
      </c>
      <c r="Q4" s="779"/>
      <c r="S4" s="675" t="s">
        <v>619</v>
      </c>
      <c r="T4" s="669"/>
      <c r="U4" s="669"/>
      <c r="V4" s="669"/>
      <c r="W4" s="669"/>
      <c r="X4" s="669"/>
      <c r="Y4" s="669"/>
      <c r="Z4" s="669"/>
      <c r="AA4" s="669"/>
      <c r="AB4" s="669"/>
      <c r="AC4" s="669"/>
      <c r="AD4" s="669"/>
      <c r="AE4" s="669"/>
      <c r="AF4" s="669"/>
    </row>
    <row r="5" spans="1:36" ht="20.100000000000001" customHeight="1">
      <c r="A5" s="779"/>
      <c r="B5" s="779"/>
      <c r="C5" s="779"/>
      <c r="D5" s="2238">
        <f>T5</f>
        <v>2015</v>
      </c>
      <c r="E5" s="2238">
        <f t="shared" ref="E5:N5" si="0">U5</f>
        <v>2016</v>
      </c>
      <c r="F5" s="2238">
        <f t="shared" si="0"/>
        <v>2017</v>
      </c>
      <c r="G5" s="2238">
        <f t="shared" si="0"/>
        <v>2018</v>
      </c>
      <c r="H5" s="2238">
        <f t="shared" si="0"/>
        <v>2019</v>
      </c>
      <c r="I5" s="2238">
        <f t="shared" si="0"/>
        <v>2020</v>
      </c>
      <c r="J5" s="2238">
        <f t="shared" si="0"/>
        <v>2021</v>
      </c>
      <c r="K5" s="2238">
        <f t="shared" si="0"/>
        <v>2022</v>
      </c>
      <c r="L5" s="2238">
        <f t="shared" si="0"/>
        <v>2023</v>
      </c>
      <c r="M5" s="2238">
        <f t="shared" si="0"/>
        <v>2024</v>
      </c>
      <c r="N5" s="2274">
        <f t="shared" si="0"/>
        <v>2025</v>
      </c>
      <c r="O5" s="678" t="s">
        <v>534</v>
      </c>
      <c r="P5" s="679" t="s">
        <v>535</v>
      </c>
      <c r="Q5" s="779"/>
      <c r="S5" s="2298"/>
      <c r="T5" s="2282">
        <v>2015</v>
      </c>
      <c r="U5" s="2282">
        <f>T5+1</f>
        <v>2016</v>
      </c>
      <c r="V5" s="2282">
        <f t="shared" ref="V5:AD5" si="1">U5+1</f>
        <v>2017</v>
      </c>
      <c r="W5" s="2282">
        <f t="shared" si="1"/>
        <v>2018</v>
      </c>
      <c r="X5" s="2282">
        <f t="shared" si="1"/>
        <v>2019</v>
      </c>
      <c r="Y5" s="2282">
        <f t="shared" si="1"/>
        <v>2020</v>
      </c>
      <c r="Z5" s="2282">
        <f t="shared" si="1"/>
        <v>2021</v>
      </c>
      <c r="AA5" s="2282">
        <f t="shared" si="1"/>
        <v>2022</v>
      </c>
      <c r="AB5" s="2282">
        <f t="shared" si="1"/>
        <v>2023</v>
      </c>
      <c r="AC5" s="2285">
        <f t="shared" si="1"/>
        <v>2024</v>
      </c>
      <c r="AD5" s="2293">
        <f t="shared" si="1"/>
        <v>2025</v>
      </c>
      <c r="AE5" s="854" t="s">
        <v>620</v>
      </c>
      <c r="AF5" s="855" t="s">
        <v>621</v>
      </c>
      <c r="AG5" s="669"/>
      <c r="AH5" s="669"/>
      <c r="AI5" s="669"/>
      <c r="AJ5" s="669"/>
    </row>
    <row r="6" spans="1:36" ht="15" customHeight="1">
      <c r="A6" s="779"/>
      <c r="B6" s="779"/>
      <c r="C6" s="779"/>
      <c r="D6" s="2239"/>
      <c r="E6" s="2239"/>
      <c r="F6" s="2239"/>
      <c r="G6" s="2239"/>
      <c r="H6" s="2239"/>
      <c r="I6" s="2239"/>
      <c r="J6" s="2239"/>
      <c r="K6" s="2239"/>
      <c r="L6" s="2239"/>
      <c r="M6" s="2239"/>
      <c r="N6" s="2275"/>
      <c r="O6" s="646" t="s">
        <v>511</v>
      </c>
      <c r="P6" s="666" t="s">
        <v>509</v>
      </c>
      <c r="Q6" s="779"/>
      <c r="S6" s="2299"/>
      <c r="T6" s="2283"/>
      <c r="U6" s="2283"/>
      <c r="V6" s="2283"/>
      <c r="W6" s="2283"/>
      <c r="X6" s="2283"/>
      <c r="Y6" s="2283"/>
      <c r="Z6" s="2283"/>
      <c r="AA6" s="2283"/>
      <c r="AB6" s="2283"/>
      <c r="AC6" s="2286"/>
      <c r="AD6" s="2294"/>
      <c r="AE6" s="856"/>
      <c r="AF6" s="857"/>
      <c r="AG6" s="669"/>
      <c r="AH6" s="669"/>
      <c r="AI6" s="669"/>
      <c r="AJ6" s="669"/>
    </row>
    <row r="7" spans="1:36" ht="24.95" customHeight="1" thickBot="1">
      <c r="A7" s="779"/>
      <c r="B7" s="2296" t="s">
        <v>1213</v>
      </c>
      <c r="C7" s="2297"/>
      <c r="D7" s="1820">
        <f t="shared" ref="D7:N7" si="2">ROUNDDOWN(T8/1000,0)</f>
        <v>4699</v>
      </c>
      <c r="E7" s="1820">
        <f t="shared" si="2"/>
        <v>4708</v>
      </c>
      <c r="F7" s="1820">
        <f t="shared" si="2"/>
        <v>4840</v>
      </c>
      <c r="G7" s="1820">
        <f t="shared" si="2"/>
        <v>4665</v>
      </c>
      <c r="H7" s="1820">
        <f t="shared" si="2"/>
        <v>4783</v>
      </c>
      <c r="I7" s="1820">
        <f t="shared" si="2"/>
        <v>4376</v>
      </c>
      <c r="J7" s="1820">
        <f t="shared" si="2"/>
        <v>4383</v>
      </c>
      <c r="K7" s="1820">
        <f t="shared" si="2"/>
        <v>4464</v>
      </c>
      <c r="L7" s="1820">
        <f t="shared" si="2"/>
        <v>5037</v>
      </c>
      <c r="M7" s="1820">
        <f t="shared" si="2"/>
        <v>4832</v>
      </c>
      <c r="N7" s="1820">
        <f t="shared" si="2"/>
        <v>5223</v>
      </c>
      <c r="O7" s="1821">
        <f t="shared" ref="O7:P13" si="3">AE8</f>
        <v>8.0867464813534582</v>
      </c>
      <c r="P7" s="1821">
        <f t="shared" si="3"/>
        <v>1.0620535968653977</v>
      </c>
      <c r="Q7" s="779"/>
      <c r="S7" s="2300"/>
      <c r="T7" s="2284"/>
      <c r="U7" s="2284"/>
      <c r="V7" s="2284"/>
      <c r="W7" s="2284"/>
      <c r="X7" s="2284"/>
      <c r="Y7" s="2284"/>
      <c r="Z7" s="2284"/>
      <c r="AA7" s="2284"/>
      <c r="AB7" s="2284"/>
      <c r="AC7" s="2287"/>
      <c r="AD7" s="2295"/>
      <c r="AE7" s="858" t="s">
        <v>373</v>
      </c>
      <c r="AF7" s="859" t="s">
        <v>5</v>
      </c>
      <c r="AG7" s="669"/>
      <c r="AH7" s="669"/>
      <c r="AI7" s="669"/>
      <c r="AJ7" s="669"/>
    </row>
    <row r="8" spans="1:36" ht="24.95" customHeight="1" thickTop="1">
      <c r="A8" s="779"/>
      <c r="B8" s="2288" t="s">
        <v>1215</v>
      </c>
      <c r="C8" s="2289"/>
      <c r="D8" s="1822">
        <f t="shared" ref="D8:M8" si="4">IF(T$14=0,"",100-(D10+D12))</f>
        <v>65.400000000000006</v>
      </c>
      <c r="E8" s="1822">
        <f t="shared" si="4"/>
        <v>65.2</v>
      </c>
      <c r="F8" s="1822">
        <f t="shared" si="4"/>
        <v>64.3</v>
      </c>
      <c r="G8" s="1822">
        <f t="shared" si="4"/>
        <v>63.400000000000006</v>
      </c>
      <c r="H8" s="1822">
        <f t="shared" si="4"/>
        <v>62.6</v>
      </c>
      <c r="I8" s="1822">
        <f t="shared" si="4"/>
        <v>61.599999999999994</v>
      </c>
      <c r="J8" s="1822">
        <f t="shared" si="4"/>
        <v>62.6</v>
      </c>
      <c r="K8" s="1822">
        <f t="shared" si="4"/>
        <v>64.2</v>
      </c>
      <c r="L8" s="1822">
        <f t="shared" si="4"/>
        <v>63.2</v>
      </c>
      <c r="M8" s="1822">
        <f t="shared" si="4"/>
        <v>64.3</v>
      </c>
      <c r="N8" s="1822">
        <f>IF(AD$14=0,"",100-(N10+N12))</f>
        <v>65.099999999999994</v>
      </c>
      <c r="O8" s="1125" t="str">
        <f t="shared" si="3"/>
        <v>-</v>
      </c>
      <c r="P8" s="1125" t="str">
        <f t="shared" si="3"/>
        <v>-</v>
      </c>
      <c r="Q8" s="779"/>
      <c r="S8" s="860" t="s">
        <v>622</v>
      </c>
      <c r="T8" s="861">
        <v>4699732</v>
      </c>
      <c r="U8" s="862">
        <v>4708254</v>
      </c>
      <c r="V8" s="862">
        <v>4840963</v>
      </c>
      <c r="W8" s="861">
        <v>4665957</v>
      </c>
      <c r="X8" s="862">
        <v>4783488</v>
      </c>
      <c r="Y8" s="862">
        <v>4376690</v>
      </c>
      <c r="Z8" s="861">
        <v>4383941</v>
      </c>
      <c r="AA8" s="861">
        <v>4464583</v>
      </c>
      <c r="AB8" s="2108">
        <v>5037445</v>
      </c>
      <c r="AC8" s="2107">
        <v>4832611</v>
      </c>
      <c r="AD8" s="863">
        <v>5223412</v>
      </c>
      <c r="AE8" s="699">
        <f>(AD8/AC8-1)*100</f>
        <v>8.0867464813534582</v>
      </c>
      <c r="AF8" s="864">
        <f>((AD8/T8)^(1/10)-1)*100</f>
        <v>1.0620535968653977</v>
      </c>
      <c r="AG8" s="669"/>
      <c r="AH8" s="669"/>
      <c r="AI8" s="669"/>
      <c r="AJ8" s="669"/>
    </row>
    <row r="9" spans="1:36" ht="24.95" customHeight="1">
      <c r="A9" s="779"/>
      <c r="B9" s="2290" t="s">
        <v>1214</v>
      </c>
      <c r="C9" s="2291"/>
      <c r="D9" s="1823">
        <f t="shared" ref="D9:M9" si="5">ROUNDDOWN(T10/1000,0)</f>
        <v>1279</v>
      </c>
      <c r="E9" s="1823">
        <f t="shared" si="5"/>
        <v>1290</v>
      </c>
      <c r="F9" s="1823">
        <f t="shared" si="5"/>
        <v>1339</v>
      </c>
      <c r="G9" s="1823">
        <f t="shared" si="5"/>
        <v>1336</v>
      </c>
      <c r="H9" s="1823">
        <f t="shared" si="5"/>
        <v>1407</v>
      </c>
      <c r="I9" s="1823">
        <f t="shared" si="5"/>
        <v>1318</v>
      </c>
      <c r="J9" s="1823">
        <f t="shared" si="5"/>
        <v>1277</v>
      </c>
      <c r="K9" s="1823">
        <f t="shared" si="5"/>
        <v>1264</v>
      </c>
      <c r="L9" s="1823">
        <f t="shared" si="5"/>
        <v>1440</v>
      </c>
      <c r="M9" s="1823">
        <f t="shared" si="5"/>
        <v>1340</v>
      </c>
      <c r="N9" s="1823">
        <f>ROUNDDOWN(AD10/1000,0)</f>
        <v>1370</v>
      </c>
      <c r="O9" s="1716">
        <f t="shared" si="3"/>
        <v>2.2024111878639507</v>
      </c>
      <c r="P9" s="1716">
        <f t="shared" si="3"/>
        <v>0.68485877303905429</v>
      </c>
      <c r="Q9" s="779"/>
      <c r="S9" s="860"/>
      <c r="T9" s="861"/>
      <c r="U9" s="861"/>
      <c r="V9" s="862"/>
      <c r="W9" s="862"/>
      <c r="X9" s="861"/>
      <c r="Y9" s="862"/>
      <c r="Z9" s="862"/>
      <c r="AA9" s="861"/>
      <c r="AB9" s="861"/>
      <c r="AC9" s="862"/>
      <c r="AD9" s="863"/>
      <c r="AE9" s="865" t="s">
        <v>8</v>
      </c>
      <c r="AF9" s="865" t="s">
        <v>8</v>
      </c>
      <c r="AG9" s="669"/>
      <c r="AH9" s="669"/>
      <c r="AI9" s="669"/>
      <c r="AJ9" s="669"/>
    </row>
    <row r="10" spans="1:36" ht="24.95" customHeight="1">
      <c r="A10" s="779"/>
      <c r="B10" s="2289" t="s">
        <v>1215</v>
      </c>
      <c r="C10" s="2289"/>
      <c r="D10" s="1822">
        <f t="shared" ref="D10:M10" si="6">IF(T$14=0,"",ROUND(T10/T$14,3)*100)</f>
        <v>17.8</v>
      </c>
      <c r="E10" s="1822">
        <f t="shared" si="6"/>
        <v>17.899999999999999</v>
      </c>
      <c r="F10" s="1822">
        <f t="shared" si="6"/>
        <v>17.8</v>
      </c>
      <c r="G10" s="1822">
        <f t="shared" si="6"/>
        <v>18.099999999999998</v>
      </c>
      <c r="H10" s="1822">
        <f t="shared" si="6"/>
        <v>18.399999999999999</v>
      </c>
      <c r="I10" s="1822">
        <f t="shared" si="6"/>
        <v>18.600000000000001</v>
      </c>
      <c r="J10" s="1822">
        <f t="shared" si="6"/>
        <v>18.2</v>
      </c>
      <c r="K10" s="1822">
        <f t="shared" si="6"/>
        <v>18.2</v>
      </c>
      <c r="L10" s="1822">
        <f t="shared" si="6"/>
        <v>18.099999999999998</v>
      </c>
      <c r="M10" s="1822">
        <f t="shared" si="6"/>
        <v>17.899999999999999</v>
      </c>
      <c r="N10" s="1822">
        <f>IF(AD$14=0,"",ROUND(AD10/AD$14,3)*100)</f>
        <v>17.100000000000001</v>
      </c>
      <c r="O10" s="1125" t="str">
        <f t="shared" si="3"/>
        <v>-</v>
      </c>
      <c r="P10" s="1125" t="str">
        <f>AF11</f>
        <v>-</v>
      </c>
      <c r="Q10" s="779"/>
      <c r="S10" s="866" t="s">
        <v>623</v>
      </c>
      <c r="T10" s="867">
        <v>1279795</v>
      </c>
      <c r="U10" s="867">
        <v>1290827</v>
      </c>
      <c r="V10" s="868">
        <v>1339279</v>
      </c>
      <c r="W10" s="868">
        <v>1336299</v>
      </c>
      <c r="X10" s="867">
        <v>1407054</v>
      </c>
      <c r="Y10" s="868">
        <v>1318878</v>
      </c>
      <c r="Z10" s="868">
        <v>1277136</v>
      </c>
      <c r="AA10" s="867">
        <v>1264894</v>
      </c>
      <c r="AB10" s="867">
        <v>1440078</v>
      </c>
      <c r="AC10" s="868">
        <v>1340667</v>
      </c>
      <c r="AD10" s="869">
        <v>1370194</v>
      </c>
      <c r="AE10" s="713">
        <f>(AD10/AC10-1)*100</f>
        <v>2.2024111878639507</v>
      </c>
      <c r="AF10" s="870">
        <f>((AD10/T10)^(1/10)-1)*100</f>
        <v>0.68485877303905429</v>
      </c>
      <c r="AG10" s="669"/>
      <c r="AH10" s="669"/>
      <c r="AI10" s="669"/>
      <c r="AJ10" s="669"/>
    </row>
    <row r="11" spans="1:36" ht="24.95" customHeight="1">
      <c r="A11" s="779"/>
      <c r="B11" s="2292" t="s">
        <v>1752</v>
      </c>
      <c r="C11" s="2291"/>
      <c r="D11" s="1823">
        <f t="shared" ref="D11:N11" si="7">ROUNDDOWN(T12/1000,0)</f>
        <v>1207</v>
      </c>
      <c r="E11" s="1823">
        <f t="shared" si="7"/>
        <v>1215</v>
      </c>
      <c r="F11" s="1823">
        <f t="shared" si="7"/>
        <v>1343</v>
      </c>
      <c r="G11" s="1823">
        <f t="shared" si="7"/>
        <v>1360</v>
      </c>
      <c r="H11" s="1823">
        <f t="shared" si="7"/>
        <v>1455</v>
      </c>
      <c r="I11" s="1823">
        <f t="shared" si="7"/>
        <v>1410</v>
      </c>
      <c r="J11" s="1823">
        <f t="shared" si="7"/>
        <v>1346</v>
      </c>
      <c r="K11" s="1823">
        <f t="shared" si="7"/>
        <v>1220</v>
      </c>
      <c r="L11" s="1823">
        <f t="shared" si="7"/>
        <v>1486</v>
      </c>
      <c r="M11" s="1823">
        <f t="shared" si="7"/>
        <v>1336</v>
      </c>
      <c r="N11" s="1823">
        <f t="shared" si="7"/>
        <v>1423</v>
      </c>
      <c r="O11" s="1716">
        <f t="shared" si="3"/>
        <v>6.4818284561985351</v>
      </c>
      <c r="P11" s="1716">
        <f t="shared" si="3"/>
        <v>1.6627751787323009</v>
      </c>
      <c r="Q11" s="779"/>
      <c r="S11" s="871"/>
      <c r="T11" s="872"/>
      <c r="U11" s="872"/>
      <c r="V11" s="873"/>
      <c r="W11" s="873"/>
      <c r="X11" s="872"/>
      <c r="Y11" s="873"/>
      <c r="Z11" s="873"/>
      <c r="AA11" s="872"/>
      <c r="AB11" s="872"/>
      <c r="AC11" s="873"/>
      <c r="AD11" s="874"/>
      <c r="AE11" s="875" t="s">
        <v>8</v>
      </c>
      <c r="AF11" s="875" t="s">
        <v>8</v>
      </c>
      <c r="AG11" s="669"/>
      <c r="AH11" s="669"/>
      <c r="AI11" s="669"/>
      <c r="AJ11" s="669"/>
    </row>
    <row r="12" spans="1:36" ht="24.95" customHeight="1">
      <c r="A12" s="779"/>
      <c r="B12" s="2289" t="s">
        <v>1215</v>
      </c>
      <c r="C12" s="2289"/>
      <c r="D12" s="1822">
        <f t="shared" ref="D12:N12" si="8">IF(T$14=0,"",ROUND(T12/T$14,3)*100)</f>
        <v>16.8</v>
      </c>
      <c r="E12" s="1822">
        <f t="shared" si="8"/>
        <v>16.900000000000002</v>
      </c>
      <c r="F12" s="1822">
        <f t="shared" si="8"/>
        <v>17.899999999999999</v>
      </c>
      <c r="G12" s="1822">
        <f t="shared" si="8"/>
        <v>18.5</v>
      </c>
      <c r="H12" s="1822">
        <f t="shared" si="8"/>
        <v>19</v>
      </c>
      <c r="I12" s="1822">
        <f t="shared" si="8"/>
        <v>19.8</v>
      </c>
      <c r="J12" s="1822">
        <f t="shared" si="8"/>
        <v>19.2</v>
      </c>
      <c r="K12" s="1822">
        <f t="shared" si="8"/>
        <v>17.599999999999998</v>
      </c>
      <c r="L12" s="1822">
        <f t="shared" si="8"/>
        <v>18.7</v>
      </c>
      <c r="M12" s="1822">
        <f t="shared" si="8"/>
        <v>17.8</v>
      </c>
      <c r="N12" s="1822">
        <f t="shared" si="8"/>
        <v>17.8</v>
      </c>
      <c r="O12" s="1125" t="str">
        <f t="shared" si="3"/>
        <v>-</v>
      </c>
      <c r="P12" s="1125" t="str">
        <f t="shared" si="3"/>
        <v>-</v>
      </c>
      <c r="Q12" s="779"/>
      <c r="S12" s="860" t="s">
        <v>624</v>
      </c>
      <c r="T12" s="861">
        <v>1207180</v>
      </c>
      <c r="U12" s="861">
        <v>1215937</v>
      </c>
      <c r="V12" s="862">
        <v>1343305</v>
      </c>
      <c r="W12" s="862">
        <v>1360674</v>
      </c>
      <c r="X12" s="861">
        <v>1455023</v>
      </c>
      <c r="Y12" s="862">
        <v>1410090</v>
      </c>
      <c r="Z12" s="862">
        <v>1346645</v>
      </c>
      <c r="AA12" s="861">
        <v>1220174</v>
      </c>
      <c r="AB12" s="861">
        <v>1486284</v>
      </c>
      <c r="AC12" s="862">
        <v>1336953</v>
      </c>
      <c r="AD12" s="863">
        <v>1423612</v>
      </c>
      <c r="AE12" s="699">
        <f>(AD12/AC12-1)*100</f>
        <v>6.4818284561985351</v>
      </c>
      <c r="AF12" s="864">
        <f>((AD12/T12)^(1/10)-1)*100</f>
        <v>1.6627751787323009</v>
      </c>
      <c r="AG12" s="669"/>
      <c r="AH12" s="669"/>
      <c r="AI12" s="669"/>
      <c r="AJ12" s="669"/>
    </row>
    <row r="13" spans="1:36" ht="24.95" customHeight="1">
      <c r="A13" s="779"/>
      <c r="B13" s="2280" t="s">
        <v>1228</v>
      </c>
      <c r="C13" s="2281"/>
      <c r="D13" s="1824">
        <f t="shared" ref="D13:N13" si="9">ROUNDDOWN(T14/1000,0)</f>
        <v>7186</v>
      </c>
      <c r="E13" s="1824">
        <f t="shared" si="9"/>
        <v>7215</v>
      </c>
      <c r="F13" s="1824">
        <f t="shared" si="9"/>
        <v>7523</v>
      </c>
      <c r="G13" s="1824">
        <f t="shared" si="9"/>
        <v>7362</v>
      </c>
      <c r="H13" s="1824">
        <f t="shared" si="9"/>
        <v>7645</v>
      </c>
      <c r="I13" s="1824">
        <f t="shared" si="9"/>
        <v>7105</v>
      </c>
      <c r="J13" s="1824">
        <f t="shared" si="9"/>
        <v>7007</v>
      </c>
      <c r="K13" s="1824">
        <f t="shared" si="9"/>
        <v>6949</v>
      </c>
      <c r="L13" s="1824">
        <f t="shared" si="9"/>
        <v>7963</v>
      </c>
      <c r="M13" s="1824">
        <f t="shared" si="9"/>
        <v>7510</v>
      </c>
      <c r="N13" s="1824">
        <f t="shared" si="9"/>
        <v>8017</v>
      </c>
      <c r="O13" s="1819">
        <f t="shared" si="3"/>
        <v>6.7506179237363018</v>
      </c>
      <c r="P13" s="1819">
        <f t="shared" si="3"/>
        <v>1.0995855810555843</v>
      </c>
      <c r="Q13" s="779"/>
      <c r="S13" s="876"/>
      <c r="T13" s="877"/>
      <c r="U13" s="877"/>
      <c r="V13" s="877"/>
      <c r="W13" s="878"/>
      <c r="X13" s="877"/>
      <c r="Y13" s="877"/>
      <c r="Z13" s="878"/>
      <c r="AA13" s="877"/>
      <c r="AB13" s="877"/>
      <c r="AC13" s="877"/>
      <c r="AD13" s="879"/>
      <c r="AE13" s="880" t="s">
        <v>8</v>
      </c>
      <c r="AF13" s="880" t="s">
        <v>8</v>
      </c>
      <c r="AG13" s="669"/>
      <c r="AH13" s="669"/>
      <c r="AI13" s="669"/>
      <c r="AJ13" s="669"/>
    </row>
    <row r="14" spans="1:36" ht="12" customHeight="1" thickBot="1">
      <c r="A14" s="779"/>
      <c r="B14" s="1786" t="s">
        <v>1126</v>
      </c>
      <c r="C14" s="1786"/>
      <c r="D14" s="1786"/>
      <c r="E14" s="714"/>
      <c r="F14" s="714"/>
      <c r="G14" s="714"/>
      <c r="H14" s="714"/>
      <c r="I14" s="714"/>
      <c r="J14" s="714"/>
      <c r="K14" s="714"/>
      <c r="L14" s="714"/>
      <c r="M14" s="714"/>
      <c r="N14" s="714"/>
      <c r="O14" s="881"/>
      <c r="P14" s="881"/>
      <c r="Q14" s="779"/>
      <c r="S14" s="882" t="s">
        <v>625</v>
      </c>
      <c r="T14" s="878">
        <v>7186707</v>
      </c>
      <c r="U14" s="878">
        <v>7215018</v>
      </c>
      <c r="V14" s="877">
        <v>7523547</v>
      </c>
      <c r="W14" s="878">
        <v>7362930</v>
      </c>
      <c r="X14" s="878">
        <v>7645565</v>
      </c>
      <c r="Y14" s="877">
        <v>7105658</v>
      </c>
      <c r="Z14" s="878">
        <v>7007722</v>
      </c>
      <c r="AA14" s="878">
        <v>6949651</v>
      </c>
      <c r="AB14" s="878">
        <v>7963807</v>
      </c>
      <c r="AC14" s="877">
        <v>7510231</v>
      </c>
      <c r="AD14" s="883">
        <v>8017218</v>
      </c>
      <c r="AE14" s="884">
        <f>(AD14/AC14-1)*100</f>
        <v>6.7506179237363018</v>
      </c>
      <c r="AF14" s="885">
        <f>((AD14/T14)^(1/10)-1)*100</f>
        <v>1.0995855810555843</v>
      </c>
      <c r="AG14" s="669"/>
      <c r="AH14" s="669"/>
      <c r="AI14" s="669"/>
      <c r="AJ14" s="669"/>
    </row>
    <row r="15" spans="1:36" ht="12" hidden="1" customHeight="1" outlineLevel="1">
      <c r="A15" s="779"/>
      <c r="B15" s="1777" t="s">
        <v>1189</v>
      </c>
      <c r="C15" s="779"/>
      <c r="D15" s="779"/>
      <c r="E15" s="1778" t="s">
        <v>1179</v>
      </c>
      <c r="F15" s="1778"/>
      <c r="G15" s="1778"/>
      <c r="H15" s="1712"/>
      <c r="I15" s="1792"/>
      <c r="J15" s="779"/>
      <c r="K15" s="1792"/>
      <c r="L15" s="1792"/>
      <c r="M15" s="1792"/>
      <c r="N15" s="1792"/>
      <c r="O15" s="1792"/>
      <c r="P15" s="1792"/>
      <c r="Q15" s="779"/>
      <c r="S15" s="886"/>
      <c r="T15" s="887"/>
      <c r="U15" s="887"/>
      <c r="V15" s="887"/>
      <c r="W15" s="887"/>
      <c r="X15" s="887"/>
      <c r="Y15" s="887"/>
      <c r="Z15" s="887"/>
      <c r="AA15" s="887"/>
      <c r="AB15" s="887"/>
      <c r="AC15" s="887"/>
      <c r="AD15" s="887"/>
      <c r="AE15" s="888"/>
      <c r="AF15" s="888"/>
      <c r="AG15" s="669"/>
      <c r="AH15" s="669"/>
      <c r="AI15" s="669"/>
      <c r="AJ15" s="669"/>
    </row>
    <row r="16" spans="1:36" ht="11.25" customHeight="1" collapsed="1">
      <c r="A16" s="779"/>
      <c r="B16" s="779"/>
      <c r="C16" s="779"/>
      <c r="D16" s="1792"/>
      <c r="E16" s="1792"/>
      <c r="F16" s="1792"/>
      <c r="G16" s="1792"/>
      <c r="H16" s="1792"/>
      <c r="I16" s="1792"/>
      <c r="J16" s="1792"/>
      <c r="K16" s="1792"/>
      <c r="L16" s="1792"/>
      <c r="M16" s="1792"/>
      <c r="N16" s="1792"/>
      <c r="O16" s="1792"/>
      <c r="P16" s="2054"/>
      <c r="Q16" s="779"/>
      <c r="S16" s="669"/>
      <c r="T16" s="669"/>
      <c r="U16" s="669"/>
      <c r="V16" s="669"/>
      <c r="W16" s="669"/>
      <c r="X16" s="669"/>
      <c r="Y16" s="669"/>
      <c r="Z16" s="669"/>
      <c r="AA16" s="669"/>
      <c r="AB16" s="669"/>
      <c r="AC16" s="669"/>
      <c r="AD16" s="669"/>
      <c r="AE16" s="669"/>
      <c r="AF16" s="669"/>
      <c r="AH16" s="669"/>
      <c r="AI16" s="669"/>
      <c r="AJ16" s="669"/>
    </row>
    <row r="17" spans="1:36" ht="15.75" customHeight="1" thickBot="1">
      <c r="A17" s="779"/>
      <c r="B17" s="779"/>
      <c r="C17" s="779"/>
      <c r="D17" s="1792"/>
      <c r="E17" s="1792"/>
      <c r="F17" s="1792"/>
      <c r="G17" s="1792"/>
      <c r="H17" s="1792"/>
      <c r="I17" s="1792"/>
      <c r="J17" s="1792"/>
      <c r="K17" s="1792"/>
      <c r="L17" s="1792"/>
      <c r="M17" s="1792"/>
      <c r="N17" s="1792"/>
      <c r="O17" s="1792"/>
      <c r="P17" s="1792"/>
      <c r="Q17" s="779"/>
      <c r="S17" s="889" t="s">
        <v>626</v>
      </c>
      <c r="AH17" s="669"/>
      <c r="AI17" s="669"/>
      <c r="AJ17" s="669"/>
    </row>
    <row r="18" spans="1:36" ht="15.75" customHeight="1" thickBot="1">
      <c r="A18" s="779"/>
      <c r="B18" s="779"/>
      <c r="C18" s="779"/>
      <c r="D18" s="1792"/>
      <c r="E18" s="1792"/>
      <c r="F18" s="1792"/>
      <c r="G18" s="1792"/>
      <c r="H18" s="1792"/>
      <c r="I18" s="1792"/>
      <c r="J18" s="1792"/>
      <c r="K18" s="1792"/>
      <c r="L18" s="1792"/>
      <c r="M18" s="1792"/>
      <c r="N18" s="1792"/>
      <c r="O18" s="1792"/>
      <c r="P18" s="1792"/>
      <c r="Q18" s="779"/>
      <c r="S18" s="890"/>
      <c r="T18" s="891">
        <f t="shared" ref="T18:AF18" si="10">T5</f>
        <v>2015</v>
      </c>
      <c r="U18" s="891">
        <f t="shared" si="10"/>
        <v>2016</v>
      </c>
      <c r="V18" s="891">
        <f t="shared" si="10"/>
        <v>2017</v>
      </c>
      <c r="W18" s="891">
        <f t="shared" si="10"/>
        <v>2018</v>
      </c>
      <c r="X18" s="891">
        <f t="shared" si="10"/>
        <v>2019</v>
      </c>
      <c r="Y18" s="891">
        <f t="shared" si="10"/>
        <v>2020</v>
      </c>
      <c r="Z18" s="891">
        <f t="shared" si="10"/>
        <v>2021</v>
      </c>
      <c r="AA18" s="891">
        <f t="shared" si="10"/>
        <v>2022</v>
      </c>
      <c r="AB18" s="891">
        <f t="shared" si="10"/>
        <v>2023</v>
      </c>
      <c r="AC18" s="891">
        <f>AC5</f>
        <v>2024</v>
      </c>
      <c r="AD18" s="892">
        <f>AD5</f>
        <v>2025</v>
      </c>
      <c r="AE18" s="892" t="str">
        <f t="shared" si="10"/>
        <v>増減率</v>
      </c>
      <c r="AF18" s="892" t="str">
        <f t="shared" si="10"/>
        <v>過去10年
平均増減率</v>
      </c>
      <c r="AH18" s="669"/>
      <c r="AI18" s="669"/>
      <c r="AJ18" s="669"/>
    </row>
    <row r="19" spans="1:36" ht="15.75" customHeight="1" thickTop="1">
      <c r="A19" s="779"/>
      <c r="B19" s="779"/>
      <c r="C19" s="779"/>
      <c r="D19" s="1792"/>
      <c r="E19" s="1792"/>
      <c r="F19" s="1792"/>
      <c r="G19" s="1792"/>
      <c r="H19" s="1792"/>
      <c r="I19" s="1792"/>
      <c r="J19" s="1792"/>
      <c r="K19" s="1792"/>
      <c r="L19" s="1792"/>
      <c r="M19" s="1792"/>
      <c r="N19" s="1792"/>
      <c r="O19" s="1792"/>
      <c r="P19" s="1792"/>
      <c r="Q19" s="779"/>
      <c r="S19" s="893" t="s">
        <v>627</v>
      </c>
      <c r="T19" s="894">
        <f t="shared" ref="T19:AD19" si="11">ROUNDDOWN(T8,-3)</f>
        <v>4699000</v>
      </c>
      <c r="U19" s="894">
        <f t="shared" si="11"/>
        <v>4708000</v>
      </c>
      <c r="V19" s="895">
        <f t="shared" si="11"/>
        <v>4840000</v>
      </c>
      <c r="W19" s="894">
        <f t="shared" si="11"/>
        <v>4665000</v>
      </c>
      <c r="X19" s="894">
        <f t="shared" si="11"/>
        <v>4783000</v>
      </c>
      <c r="Y19" s="895">
        <f t="shared" si="11"/>
        <v>4376000</v>
      </c>
      <c r="Z19" s="894">
        <f t="shared" si="11"/>
        <v>4383000</v>
      </c>
      <c r="AA19" s="894">
        <f t="shared" si="11"/>
        <v>4464000</v>
      </c>
      <c r="AB19" s="894">
        <f t="shared" si="11"/>
        <v>5037000</v>
      </c>
      <c r="AC19" s="895">
        <f t="shared" si="11"/>
        <v>4832000</v>
      </c>
      <c r="AD19" s="896">
        <f t="shared" si="11"/>
        <v>5223000</v>
      </c>
      <c r="AE19" s="896">
        <f>ROUNDDOWN(AE8,-3)</f>
        <v>0</v>
      </c>
      <c r="AF19" s="896">
        <f>ROUNDDOWN(AF8,-3)</f>
        <v>0</v>
      </c>
      <c r="AH19" s="669"/>
      <c r="AI19" s="669"/>
      <c r="AJ19" s="669"/>
    </row>
    <row r="20" spans="1:36" ht="15.75" customHeight="1">
      <c r="A20" s="779"/>
      <c r="B20" s="779"/>
      <c r="C20" s="779"/>
      <c r="D20" s="1792"/>
      <c r="E20" s="1792"/>
      <c r="F20" s="1792"/>
      <c r="G20" s="1792"/>
      <c r="H20" s="1792"/>
      <c r="I20" s="1792"/>
      <c r="J20" s="1792"/>
      <c r="K20" s="1792"/>
      <c r="L20" s="1792"/>
      <c r="M20" s="1792"/>
      <c r="N20" s="1792"/>
      <c r="O20" s="1792"/>
      <c r="P20" s="1792"/>
      <c r="Q20" s="779"/>
      <c r="S20" s="897" t="s">
        <v>628</v>
      </c>
      <c r="T20" s="898">
        <f t="shared" ref="T20:AC20" si="12">ROUNDDOWN(T10,-3)</f>
        <v>1279000</v>
      </c>
      <c r="U20" s="898">
        <f t="shared" si="12"/>
        <v>1290000</v>
      </c>
      <c r="V20" s="899">
        <f t="shared" si="12"/>
        <v>1339000</v>
      </c>
      <c r="W20" s="898">
        <f t="shared" si="12"/>
        <v>1336000</v>
      </c>
      <c r="X20" s="898">
        <f t="shared" si="12"/>
        <v>1407000</v>
      </c>
      <c r="Y20" s="899">
        <f t="shared" si="12"/>
        <v>1318000</v>
      </c>
      <c r="Z20" s="898">
        <f t="shared" si="12"/>
        <v>1277000</v>
      </c>
      <c r="AA20" s="898">
        <f t="shared" si="12"/>
        <v>1264000</v>
      </c>
      <c r="AB20" s="898">
        <f t="shared" si="12"/>
        <v>1440000</v>
      </c>
      <c r="AC20" s="899">
        <f t="shared" si="12"/>
        <v>1340000</v>
      </c>
      <c r="AD20" s="900">
        <f>ROUNDDOWN(AD10,-3)</f>
        <v>1370000</v>
      </c>
      <c r="AE20" s="900">
        <f>ROUNDDOWN(AE10,-3)</f>
        <v>0</v>
      </c>
      <c r="AF20" s="900">
        <f>ROUNDDOWN(AF10,-3)</f>
        <v>0</v>
      </c>
      <c r="AH20" s="669"/>
      <c r="AI20" s="669"/>
      <c r="AJ20" s="669"/>
    </row>
    <row r="21" spans="1:36" ht="12" customHeight="1">
      <c r="A21" s="779"/>
      <c r="B21" s="779"/>
      <c r="C21" s="779"/>
      <c r="D21" s="1792"/>
      <c r="E21" s="1792"/>
      <c r="F21" s="1792"/>
      <c r="G21" s="1792"/>
      <c r="H21" s="1792"/>
      <c r="I21" s="1792"/>
      <c r="J21" s="1792"/>
      <c r="K21" s="1792"/>
      <c r="L21" s="1792"/>
      <c r="M21" s="1792"/>
      <c r="N21" s="1792"/>
      <c r="O21" s="1792"/>
      <c r="P21" s="1792"/>
      <c r="Q21" s="779"/>
      <c r="S21" s="990" t="s">
        <v>640</v>
      </c>
      <c r="T21" s="901">
        <f t="shared" ref="T21:AD21" si="13">ROUNDDOWN(T12,-3)</f>
        <v>1207000</v>
      </c>
      <c r="U21" s="901">
        <f t="shared" si="13"/>
        <v>1215000</v>
      </c>
      <c r="V21" s="902">
        <f t="shared" si="13"/>
        <v>1343000</v>
      </c>
      <c r="W21" s="901">
        <f t="shared" si="13"/>
        <v>1360000</v>
      </c>
      <c r="X21" s="901">
        <f t="shared" si="13"/>
        <v>1455000</v>
      </c>
      <c r="Y21" s="902">
        <f t="shared" si="13"/>
        <v>1410000</v>
      </c>
      <c r="Z21" s="901">
        <f t="shared" si="13"/>
        <v>1346000</v>
      </c>
      <c r="AA21" s="901">
        <f t="shared" si="13"/>
        <v>1220000</v>
      </c>
      <c r="AB21" s="901">
        <f t="shared" si="13"/>
        <v>1486000</v>
      </c>
      <c r="AC21" s="902">
        <f t="shared" si="13"/>
        <v>1336000</v>
      </c>
      <c r="AD21" s="903">
        <f t="shared" si="13"/>
        <v>1423000</v>
      </c>
      <c r="AE21" s="903">
        <f>ROUNDDOWN(AE12,-3)</f>
        <v>0</v>
      </c>
      <c r="AF21" s="903">
        <f>ROUNDDOWN(AF12,-3)</f>
        <v>0</v>
      </c>
    </row>
    <row r="22" spans="1:36" ht="13.5" thickBot="1">
      <c r="A22" s="779"/>
      <c r="B22" s="779"/>
      <c r="C22" s="779"/>
      <c r="D22" s="1792"/>
      <c r="E22" s="1792"/>
      <c r="F22" s="1792"/>
      <c r="G22" s="1792"/>
      <c r="H22" s="1792"/>
      <c r="I22" s="1792"/>
      <c r="J22" s="1792"/>
      <c r="K22" s="1792"/>
      <c r="L22" s="1792"/>
      <c r="M22" s="1792"/>
      <c r="N22" s="1792"/>
      <c r="O22" s="1792"/>
      <c r="P22" s="1792"/>
      <c r="Q22" s="779"/>
      <c r="S22" s="876" t="s">
        <v>625</v>
      </c>
      <c r="T22" s="902">
        <f t="shared" ref="T22:AD22" si="14">ROUNDDOWN(T14,-3)</f>
        <v>7186000</v>
      </c>
      <c r="U22" s="902">
        <f t="shared" si="14"/>
        <v>7215000</v>
      </c>
      <c r="V22" s="901">
        <f t="shared" si="14"/>
        <v>7523000</v>
      </c>
      <c r="W22" s="902">
        <f t="shared" si="14"/>
        <v>7362000</v>
      </c>
      <c r="X22" s="902">
        <f t="shared" si="14"/>
        <v>7645000</v>
      </c>
      <c r="Y22" s="901">
        <f t="shared" si="14"/>
        <v>7105000</v>
      </c>
      <c r="Z22" s="902">
        <f t="shared" si="14"/>
        <v>7007000</v>
      </c>
      <c r="AA22" s="902">
        <f t="shared" si="14"/>
        <v>6949000</v>
      </c>
      <c r="AB22" s="902">
        <f t="shared" si="14"/>
        <v>7963000</v>
      </c>
      <c r="AC22" s="901">
        <f t="shared" si="14"/>
        <v>7510000</v>
      </c>
      <c r="AD22" s="904">
        <f t="shared" si="14"/>
        <v>8017000</v>
      </c>
      <c r="AE22" s="904">
        <f>ROUNDDOWN(AE14,-3)</f>
        <v>0</v>
      </c>
      <c r="AF22" s="904">
        <f>ROUNDDOWN(AF14,-3)</f>
        <v>0</v>
      </c>
    </row>
    <row r="23" spans="1:36">
      <c r="A23" s="779"/>
      <c r="B23" s="779"/>
      <c r="C23" s="779"/>
      <c r="D23" s="1792"/>
      <c r="E23" s="1792"/>
      <c r="F23" s="1792"/>
      <c r="G23" s="1792"/>
      <c r="H23" s="1792"/>
      <c r="I23" s="1792"/>
      <c r="J23" s="1792"/>
      <c r="K23" s="1792"/>
      <c r="L23" s="1792"/>
      <c r="M23" s="1792"/>
      <c r="N23" s="1792"/>
      <c r="O23" s="1792"/>
      <c r="P23" s="1792"/>
      <c r="Q23" s="779"/>
    </row>
    <row r="24" spans="1:36" ht="14.25" customHeight="1">
      <c r="A24" s="779"/>
      <c r="B24" s="779"/>
      <c r="C24" s="779"/>
      <c r="D24" s="779"/>
      <c r="E24" s="779"/>
      <c r="F24" s="779"/>
      <c r="G24" s="779"/>
      <c r="H24" s="779"/>
      <c r="I24" s="779"/>
      <c r="J24" s="779"/>
      <c r="K24" s="779"/>
      <c r="L24" s="779"/>
      <c r="M24" s="779"/>
      <c r="N24" s="779"/>
      <c r="O24" s="779"/>
      <c r="P24" s="779"/>
      <c r="Q24" s="779"/>
      <c r="S24" s="769" t="s">
        <v>542</v>
      </c>
    </row>
    <row r="25" spans="1:36" ht="14.25" hidden="1" customHeight="1" outlineLevel="1">
      <c r="A25" s="779"/>
      <c r="B25" s="1712" t="s">
        <v>1255</v>
      </c>
      <c r="C25" s="779"/>
      <c r="D25" s="779"/>
      <c r="E25" s="779"/>
      <c r="F25" s="905"/>
      <c r="G25" s="905"/>
      <c r="H25" s="905" t="s">
        <v>629</v>
      </c>
      <c r="I25" s="779"/>
      <c r="J25" s="905"/>
      <c r="K25" s="779"/>
      <c r="L25" s="779"/>
      <c r="M25" s="779"/>
      <c r="N25" s="779"/>
      <c r="O25" s="779"/>
      <c r="P25" s="779"/>
      <c r="Q25" s="779"/>
      <c r="S25" s="769" t="s">
        <v>590</v>
      </c>
    </row>
    <row r="26" spans="1:36" ht="14.25" hidden="1" customHeight="1" outlineLevel="1">
      <c r="A26" s="779"/>
      <c r="B26" s="836" t="s">
        <v>630</v>
      </c>
      <c r="C26" s="779"/>
      <c r="D26" s="779"/>
      <c r="E26" s="779"/>
      <c r="F26" s="905"/>
      <c r="G26" s="905"/>
      <c r="H26" s="905" t="s">
        <v>1254</v>
      </c>
      <c r="I26" s="779"/>
      <c r="J26" s="905"/>
      <c r="K26" s="779"/>
      <c r="L26" s="779"/>
      <c r="M26" s="779"/>
      <c r="N26" s="779"/>
      <c r="O26" s="779"/>
      <c r="P26" s="779"/>
      <c r="Q26" s="779"/>
      <c r="S26" s="769" t="s">
        <v>591</v>
      </c>
    </row>
    <row r="27" spans="1:36" ht="14.25" hidden="1" customHeight="1" outlineLevel="1">
      <c r="A27" s="779"/>
      <c r="B27" s="1712" t="s">
        <v>1192</v>
      </c>
      <c r="C27" s="779"/>
      <c r="D27" s="779"/>
      <c r="E27" s="779"/>
      <c r="F27" s="905"/>
      <c r="G27" s="905"/>
      <c r="H27" s="905" t="s">
        <v>631</v>
      </c>
      <c r="I27" s="779"/>
      <c r="J27" s="905"/>
      <c r="K27" s="779"/>
      <c r="L27" s="779"/>
      <c r="M27" s="779"/>
      <c r="N27" s="779"/>
      <c r="O27" s="779"/>
      <c r="P27" s="779"/>
      <c r="Q27" s="779"/>
      <c r="S27" s="769" t="s">
        <v>586</v>
      </c>
    </row>
    <row r="28" spans="1:36" ht="14.25" customHeight="1" collapsed="1">
      <c r="A28" s="779"/>
      <c r="B28" s="836"/>
      <c r="C28" s="779"/>
      <c r="D28" s="779"/>
      <c r="E28" s="779"/>
      <c r="F28" s="779"/>
      <c r="G28" s="779"/>
      <c r="H28" s="779"/>
      <c r="I28" s="779"/>
      <c r="J28" s="779"/>
      <c r="K28" s="779"/>
      <c r="L28" s="779"/>
      <c r="M28" s="779"/>
      <c r="N28" s="779"/>
      <c r="O28" s="779"/>
      <c r="P28" s="779"/>
      <c r="Q28" s="779"/>
    </row>
    <row r="29" spans="1:36" ht="14.25" customHeight="1">
      <c r="A29" s="779"/>
      <c r="B29" s="836"/>
      <c r="C29" s="779"/>
      <c r="D29" s="779"/>
      <c r="E29" s="779"/>
      <c r="F29" s="779"/>
      <c r="G29" s="779"/>
      <c r="H29" s="779"/>
      <c r="I29" s="779"/>
      <c r="J29" s="779"/>
      <c r="K29" s="779"/>
      <c r="L29" s="779"/>
      <c r="M29" s="779"/>
      <c r="N29" s="779"/>
      <c r="O29" s="779"/>
      <c r="P29" s="779"/>
      <c r="Q29" s="779"/>
      <c r="S29" s="769" t="s">
        <v>632</v>
      </c>
    </row>
    <row r="30" spans="1:36" ht="14.25" customHeight="1">
      <c r="A30" s="779"/>
      <c r="B30" s="836"/>
      <c r="C30" s="779"/>
      <c r="D30" s="779"/>
      <c r="E30" s="779"/>
      <c r="F30" s="779"/>
      <c r="G30" s="779"/>
      <c r="H30" s="779"/>
      <c r="I30" s="779"/>
      <c r="J30" s="779"/>
      <c r="K30" s="779"/>
      <c r="L30" s="779"/>
      <c r="M30" s="779"/>
      <c r="N30" s="779"/>
      <c r="O30" s="779"/>
      <c r="P30" s="779"/>
      <c r="Q30" s="779"/>
    </row>
    <row r="31" spans="1:36" ht="14.25" customHeight="1">
      <c r="A31" s="779"/>
      <c r="B31" s="779"/>
      <c r="C31" s="779"/>
      <c r="D31" s="779"/>
      <c r="E31" s="779"/>
      <c r="F31" s="779"/>
      <c r="G31" s="779"/>
      <c r="H31" s="779"/>
      <c r="I31" s="779"/>
      <c r="J31" s="779"/>
      <c r="K31" s="779"/>
      <c r="L31" s="779"/>
      <c r="M31" s="779"/>
      <c r="N31" s="779"/>
      <c r="O31" s="779"/>
      <c r="P31" s="779"/>
      <c r="Q31" s="779"/>
      <c r="S31" s="769" t="s">
        <v>633</v>
      </c>
    </row>
    <row r="32" spans="1:36" ht="14.25" customHeight="1">
      <c r="A32" s="779"/>
      <c r="B32" s="836"/>
      <c r="C32" s="779"/>
      <c r="D32" s="779"/>
      <c r="E32" s="779"/>
      <c r="F32" s="779"/>
      <c r="G32" s="779"/>
      <c r="H32" s="779"/>
      <c r="I32" s="779"/>
      <c r="J32" s="779"/>
      <c r="K32" s="779"/>
      <c r="L32" s="779"/>
      <c r="M32" s="779"/>
      <c r="N32" s="779"/>
      <c r="O32" s="779"/>
      <c r="P32" s="779"/>
      <c r="Q32" s="779"/>
      <c r="S32" s="769" t="s">
        <v>634</v>
      </c>
    </row>
    <row r="33" spans="1:29">
      <c r="A33" s="779"/>
      <c r="B33" s="779"/>
      <c r="C33" s="779"/>
      <c r="D33" s="779"/>
      <c r="E33" s="779"/>
      <c r="F33" s="779"/>
      <c r="G33" s="779"/>
      <c r="H33" s="779"/>
      <c r="I33" s="779"/>
      <c r="J33" s="779"/>
      <c r="K33" s="779"/>
      <c r="L33" s="779"/>
      <c r="M33" s="779"/>
      <c r="N33" s="779"/>
      <c r="O33" s="779"/>
      <c r="P33" s="779"/>
      <c r="Q33" s="779"/>
    </row>
    <row r="34" spans="1:29" ht="9" hidden="1" customHeight="1">
      <c r="A34" s="779"/>
      <c r="B34" s="779"/>
      <c r="C34" s="779"/>
      <c r="D34" s="779"/>
      <c r="E34" s="779"/>
      <c r="F34" s="779"/>
      <c r="G34" s="779"/>
      <c r="H34" s="779"/>
      <c r="I34" s="779"/>
      <c r="J34" s="779"/>
      <c r="K34" s="779"/>
      <c r="L34" s="779"/>
      <c r="M34" s="779"/>
      <c r="N34" s="779"/>
      <c r="O34" s="779"/>
      <c r="P34" s="779"/>
      <c r="Q34" s="779"/>
      <c r="S34" s="769" t="s">
        <v>635</v>
      </c>
    </row>
    <row r="35" spans="1:29" ht="12" hidden="1" customHeight="1">
      <c r="A35" s="779"/>
      <c r="B35" s="779"/>
      <c r="C35" s="779"/>
      <c r="D35" s="779"/>
      <c r="E35" s="779"/>
      <c r="F35" s="779"/>
      <c r="G35" s="779"/>
      <c r="H35" s="779"/>
      <c r="I35" s="779"/>
      <c r="J35" s="779"/>
      <c r="K35" s="779"/>
      <c r="L35" s="779"/>
      <c r="M35" s="779"/>
      <c r="N35" s="779"/>
      <c r="O35" s="779"/>
      <c r="P35" s="779"/>
      <c r="Q35" s="779"/>
      <c r="S35" s="769" t="s">
        <v>636</v>
      </c>
    </row>
    <row r="36" spans="1:29" hidden="1">
      <c r="S36" s="769" t="s">
        <v>637</v>
      </c>
    </row>
    <row r="37" spans="1:29" hidden="1"/>
    <row r="38" spans="1:29" hidden="1">
      <c r="S38" s="769" t="s">
        <v>608</v>
      </c>
    </row>
    <row r="39" spans="1:29" hidden="1">
      <c r="S39" s="769" t="s">
        <v>609</v>
      </c>
    </row>
    <row r="40" spans="1:29" hidden="1"/>
    <row r="41" spans="1:29" hidden="1">
      <c r="S41" s="1989" t="s">
        <v>1428</v>
      </c>
      <c r="T41" s="1986" t="s">
        <v>1579</v>
      </c>
      <c r="U41" s="846"/>
      <c r="V41" s="846"/>
      <c r="W41" s="846"/>
      <c r="X41" s="846"/>
      <c r="Y41" s="846"/>
      <c r="Z41" s="846"/>
      <c r="AA41" s="846"/>
      <c r="AB41" s="846"/>
      <c r="AC41" s="847"/>
    </row>
    <row r="42" spans="1:29" hidden="1">
      <c r="L42" s="2276"/>
      <c r="M42" s="2276"/>
      <c r="N42" s="2276"/>
      <c r="O42" s="2276"/>
      <c r="P42" s="2277"/>
      <c r="Q42" s="2277"/>
      <c r="S42" s="848"/>
      <c r="T42" s="849" t="s">
        <v>1429</v>
      </c>
      <c r="U42" s="849"/>
      <c r="V42" s="849"/>
      <c r="W42" s="849"/>
      <c r="X42" s="849"/>
      <c r="Y42" s="849"/>
      <c r="Z42" s="849"/>
      <c r="AA42" s="849"/>
      <c r="AB42" s="849"/>
      <c r="AC42" s="850"/>
    </row>
    <row r="43" spans="1:29" ht="66.75" hidden="1" customHeight="1">
      <c r="L43" s="2278" t="s">
        <v>1425</v>
      </c>
      <c r="M43" s="2278"/>
      <c r="N43" s="2278" t="s">
        <v>1426</v>
      </c>
      <c r="O43" s="2278"/>
      <c r="P43" s="2279" t="s">
        <v>1427</v>
      </c>
      <c r="Q43" s="2279"/>
    </row>
    <row r="44" spans="1:29" hidden="1"/>
    <row r="45" spans="1:29" hidden="1">
      <c r="S45" s="1696" t="s">
        <v>1097</v>
      </c>
      <c r="T45" s="1697"/>
      <c r="U45" s="1697"/>
      <c r="V45" s="1697"/>
      <c r="W45" s="1697"/>
      <c r="X45" s="1697"/>
      <c r="Y45" s="1697"/>
      <c r="Z45" s="1697"/>
      <c r="AA45" s="1697"/>
      <c r="AB45" s="1697"/>
      <c r="AC45" s="1697"/>
    </row>
    <row r="46" spans="1:29" hidden="1">
      <c r="S46" s="1696" t="s">
        <v>1098</v>
      </c>
      <c r="T46" s="1697"/>
      <c r="U46" s="1697"/>
      <c r="V46" s="1697"/>
      <c r="W46" s="1697"/>
      <c r="X46" s="1697"/>
      <c r="Y46" s="1697"/>
      <c r="Z46" s="1697"/>
      <c r="AA46" s="1697"/>
      <c r="AB46" s="1697"/>
      <c r="AC46" s="1697"/>
    </row>
    <row r="47" spans="1:29" hidden="1">
      <c r="S47" s="1696" t="s">
        <v>1099</v>
      </c>
      <c r="T47" s="1697"/>
      <c r="U47" s="1697"/>
      <c r="V47" s="1697"/>
      <c r="W47" s="1697"/>
      <c r="X47" s="1697"/>
      <c r="Y47" s="1697"/>
      <c r="Z47" s="1697"/>
      <c r="AA47" s="1697"/>
      <c r="AB47" s="1697"/>
      <c r="AC47" s="1697"/>
    </row>
    <row r="48" spans="1:29" hidden="1">
      <c r="S48" s="1697"/>
      <c r="T48" s="1697"/>
      <c r="U48" s="1697"/>
      <c r="V48" s="1697"/>
      <c r="W48" s="1697"/>
      <c r="X48" s="1697"/>
      <c r="Y48" s="1697"/>
      <c r="Z48" s="1697"/>
      <c r="AA48" s="1697"/>
      <c r="AB48" s="1697"/>
      <c r="AC48" s="1697"/>
    </row>
    <row r="49" spans="19:29" hidden="1">
      <c r="S49" s="1698" t="s">
        <v>1100</v>
      </c>
      <c r="T49" s="1698" t="s">
        <v>1101</v>
      </c>
      <c r="U49" s="1698" t="s">
        <v>1102</v>
      </c>
      <c r="V49" s="1698" t="s">
        <v>1103</v>
      </c>
      <c r="W49" s="1697"/>
      <c r="X49" s="1697"/>
      <c r="Y49" s="1697"/>
      <c r="Z49" s="1697"/>
      <c r="AA49" s="1697"/>
      <c r="AB49" s="1697"/>
      <c r="AC49" s="1697"/>
    </row>
    <row r="50" spans="19:29" hidden="1">
      <c r="S50" s="1698" t="s">
        <v>1104</v>
      </c>
      <c r="T50" s="1699">
        <v>4311905</v>
      </c>
      <c r="U50" s="1699">
        <v>4383941</v>
      </c>
      <c r="V50" s="1699">
        <f>U50-T50</f>
        <v>72036</v>
      </c>
      <c r="W50" s="1697"/>
      <c r="X50" s="1697"/>
      <c r="Y50" s="1697"/>
      <c r="Z50" s="1697"/>
      <c r="AA50" s="1697"/>
      <c r="AB50" s="1697"/>
      <c r="AC50" s="1697"/>
    </row>
    <row r="51" spans="19:29" hidden="1">
      <c r="S51" s="1698" t="s">
        <v>1105</v>
      </c>
      <c r="T51" s="1699">
        <v>32734</v>
      </c>
      <c r="U51" s="1699">
        <v>63914</v>
      </c>
      <c r="V51" s="1699">
        <f>U51-T51</f>
        <v>31180</v>
      </c>
      <c r="W51" s="1697"/>
      <c r="X51" s="1697"/>
      <c r="Y51" s="1697"/>
      <c r="Z51" s="1697"/>
      <c r="AA51" s="1697"/>
      <c r="AB51" s="1697"/>
      <c r="AC51" s="1697"/>
    </row>
    <row r="52" spans="19:29" hidden="1">
      <c r="S52" s="1698" t="s">
        <v>1106</v>
      </c>
      <c r="T52" s="1699">
        <v>32892</v>
      </c>
      <c r="U52" s="1699">
        <v>73748</v>
      </c>
      <c r="V52" s="1699">
        <f>U52-T52</f>
        <v>40856</v>
      </c>
      <c r="W52" s="1697"/>
      <c r="X52" s="1697"/>
      <c r="Y52" s="1697"/>
      <c r="Z52" s="1697"/>
      <c r="AA52" s="1697"/>
      <c r="AB52" s="1697"/>
      <c r="AC52" s="1697"/>
    </row>
    <row r="53" spans="19:29" hidden="1">
      <c r="S53" s="1698" t="s">
        <v>1107</v>
      </c>
      <c r="T53" s="1699">
        <v>6935686</v>
      </c>
      <c r="U53" s="1699">
        <v>7007722</v>
      </c>
      <c r="V53" s="1699">
        <f>U53-T53</f>
        <v>72036</v>
      </c>
      <c r="W53" s="1697"/>
      <c r="X53" s="1697"/>
      <c r="Y53" s="1697"/>
      <c r="Z53" s="1697"/>
      <c r="AA53" s="1697"/>
      <c r="AB53" s="1697"/>
      <c r="AC53" s="1697"/>
    </row>
    <row r="54" spans="19:29" hidden="1">
      <c r="S54" s="1697"/>
      <c r="T54" s="1697"/>
      <c r="U54" s="1697"/>
      <c r="V54" s="1697"/>
      <c r="W54" s="1697"/>
      <c r="X54" s="1697"/>
      <c r="Y54" s="1697"/>
      <c r="Z54" s="1697"/>
      <c r="AA54" s="1697"/>
      <c r="AB54" s="1697"/>
      <c r="AC54" s="1697"/>
    </row>
    <row r="55" spans="19:29" hidden="1">
      <c r="S55" s="1700" t="s">
        <v>429</v>
      </c>
      <c r="T55" s="1701" t="s">
        <v>1580</v>
      </c>
      <c r="U55" s="1702"/>
      <c r="V55" s="1702"/>
      <c r="W55" s="1702"/>
      <c r="X55" s="1702"/>
      <c r="Y55" s="1702"/>
      <c r="Z55" s="1702"/>
      <c r="AA55" s="1702"/>
      <c r="AB55" s="1702"/>
      <c r="AC55" s="1703"/>
    </row>
    <row r="56" spans="19:29" hidden="1">
      <c r="S56" s="1704"/>
      <c r="T56" s="1705" t="s">
        <v>1108</v>
      </c>
      <c r="U56" s="1706"/>
      <c r="V56" s="1706"/>
      <c r="W56" s="1706"/>
      <c r="X56" s="1706"/>
      <c r="Y56" s="1706"/>
      <c r="Z56" s="1706"/>
      <c r="AA56" s="1706"/>
      <c r="AB56" s="1706"/>
      <c r="AC56" s="1707"/>
    </row>
    <row r="57" spans="19:29" hidden="1"/>
    <row r="58" spans="19:29" hidden="1"/>
    <row r="59" spans="19:29" hidden="1">
      <c r="S59" s="2013" t="s">
        <v>1496</v>
      </c>
    </row>
    <row r="60" spans="19:29" hidden="1">
      <c r="S60" s="1708" t="s">
        <v>1495</v>
      </c>
    </row>
    <row r="61" spans="19:29" hidden="1">
      <c r="S61" s="1708" t="s">
        <v>1497</v>
      </c>
    </row>
    <row r="62" spans="19:29" hidden="1"/>
    <row r="63" spans="19:29" hidden="1"/>
    <row r="64" spans="19:29" hidden="1"/>
    <row r="65" hidden="1"/>
    <row r="66" hidden="1"/>
    <row r="67" hidden="1"/>
    <row r="68" hidden="1"/>
    <row r="69" hidden="1"/>
    <row r="70" hidden="1"/>
  </sheetData>
  <sheetProtection algorithmName="SHA-512" hashValue="yByOfr1O55o5LgDXcPfDBOq8sg71fP3swB02ZUGoQh1u7mZI472i21BAXvZKTNsz+YR07HjgU7VLwpr9+wGQtQ==" saltValue="acP27V98o5BNARPYM/tENQ==" spinCount="100000" sheet="1" objects="1" scenarios="1"/>
  <autoFilter ref="S5:AF14"/>
  <customSheetViews>
    <customSheetView guid="{06451E13-97D0-44F4-875B-E8D80B2F1CF1}" showPageBreaks="1" fitToPage="1" printArea="1" showAutoFilter="1" hiddenRows="1" view="pageBreakPreview">
      <pageMargins left="0" right="0" top="0" bottom="0" header="0" footer="0"/>
      <printOptions horizontalCentered="1" verticalCentered="1"/>
      <pageSetup paperSize="9" orientation="landscape" r:id="rId1"/>
      <headerFooter scaleWithDoc="0" alignWithMargins="0">
        <oddFooter>&amp;C&amp;"Arial,標準"&amp;12 4</oddFooter>
      </headerFooter>
      <autoFilter ref="S5:AF14"/>
    </customSheetView>
  </customSheetViews>
  <mergeCells count="36">
    <mergeCell ref="AD5:AD7"/>
    <mergeCell ref="B7:C7"/>
    <mergeCell ref="T5:T7"/>
    <mergeCell ref="U5:U7"/>
    <mergeCell ref="V5:V7"/>
    <mergeCell ref="W5:W7"/>
    <mergeCell ref="X5:X7"/>
    <mergeCell ref="Y5:Y7"/>
    <mergeCell ref="J5:J6"/>
    <mergeCell ref="K5:K6"/>
    <mergeCell ref="L5:L6"/>
    <mergeCell ref="M5:M6"/>
    <mergeCell ref="N5:N6"/>
    <mergeCell ref="S5:S7"/>
    <mergeCell ref="D5:D6"/>
    <mergeCell ref="E5:E6"/>
    <mergeCell ref="B13:C13"/>
    <mergeCell ref="Z5:Z7"/>
    <mergeCell ref="AA5:AA7"/>
    <mergeCell ref="AB5:AB7"/>
    <mergeCell ref="AC5:AC7"/>
    <mergeCell ref="F5:F6"/>
    <mergeCell ref="G5:G6"/>
    <mergeCell ref="H5:H6"/>
    <mergeCell ref="I5:I6"/>
    <mergeCell ref="B8:C8"/>
    <mergeCell ref="B9:C9"/>
    <mergeCell ref="B10:C10"/>
    <mergeCell ref="B11:C11"/>
    <mergeCell ref="B12:C12"/>
    <mergeCell ref="L42:M42"/>
    <mergeCell ref="N42:O42"/>
    <mergeCell ref="P42:Q42"/>
    <mergeCell ref="L43:M43"/>
    <mergeCell ref="N43:O43"/>
    <mergeCell ref="P43:Q43"/>
  </mergeCells>
  <phoneticPr fontId="29"/>
  <conditionalFormatting sqref="T14:AD15">
    <cfRule type="cellIs" dxfId="40" priority="1" stopIfTrue="1" operator="notEqual">
      <formula>T8+T10+T12</formula>
    </cfRule>
  </conditionalFormatting>
  <hyperlinks>
    <hyperlink ref="T55" r:id="rId2" display="\\10.51.3.13\財務部\10_担当業務\10_日次\ユーストカー\2_地域別ＡＡ実績(月別)\1_地域別ＡＡ実績"/>
  </hyperlinks>
  <printOptions horizontalCentered="1" verticalCentered="1"/>
  <pageMargins left="0" right="0" top="0" bottom="0" header="0" footer="0"/>
  <pageSetup paperSize="9" orientation="landscape" r:id="rId3"/>
  <headerFooter scaleWithDoc="0" alignWithMargins="0">
    <oddFooter>&amp;C&amp;"Arial,標準"&amp;12 4</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584129" r:id="rId6" name="Button 1">
              <controlPr defaultSize="0" print="0" autoFill="0" autoPict="0" macro="[0]!Button_Run_SealType_Position">
                <anchor moveWithCells="1" sizeWithCells="1">
                  <from>
                    <xdr:col>15</xdr:col>
                    <xdr:colOff>47625</xdr:colOff>
                    <xdr:row>41</xdr:row>
                    <xdr:rowOff>9525</xdr:rowOff>
                  </from>
                  <to>
                    <xdr:col>16</xdr:col>
                    <xdr:colOff>428625</xdr:colOff>
                    <xdr:row>42</xdr:row>
                    <xdr:rowOff>9525</xdr:rowOff>
                  </to>
                </anchor>
              </controlPr>
            </control>
          </mc:Choice>
        </mc:AlternateContent>
        <mc:AlternateContent xmlns:mc="http://schemas.openxmlformats.org/markup-compatibility/2006">
          <mc:Choice Requires="x14">
            <control shapeId="1584130" r:id="rId7" name="Button 2">
              <controlPr defaultSize="0" print="0" autoFill="0" autoPict="0" macro="[0]!Button_Run_SealType_Position">
                <anchor moveWithCells="1" sizeWithCells="1">
                  <from>
                    <xdr:col>13</xdr:col>
                    <xdr:colOff>19050</xdr:colOff>
                    <xdr:row>40</xdr:row>
                    <xdr:rowOff>161925</xdr:rowOff>
                  </from>
                  <to>
                    <xdr:col>15</xdr:col>
                    <xdr:colOff>9525</xdr:colOff>
                    <xdr:row>42</xdr:row>
                    <xdr:rowOff>9525</xdr:rowOff>
                  </to>
                </anchor>
              </controlPr>
            </control>
          </mc:Choice>
        </mc:AlternateContent>
        <mc:AlternateContent xmlns:mc="http://schemas.openxmlformats.org/markup-compatibility/2006">
          <mc:Choice Requires="x14">
            <control shapeId="1584131" r:id="rId8" name="Button 3">
              <controlPr defaultSize="0" print="0" autoFill="0" autoPict="0" macro="[0]!Button_Run_SealType_Position">
                <anchor moveWithCells="1" sizeWithCells="1">
                  <from>
                    <xdr:col>11</xdr:col>
                    <xdr:colOff>9525</xdr:colOff>
                    <xdr:row>40</xdr:row>
                    <xdr:rowOff>161925</xdr:rowOff>
                  </from>
                  <to>
                    <xdr:col>12</xdr:col>
                    <xdr:colOff>428625</xdr:colOff>
                    <xdr:row>42</xdr:row>
                    <xdr:rowOff>9525</xdr:rowOff>
                  </to>
                </anchor>
              </controlPr>
            </control>
          </mc:Choice>
        </mc:AlternateContent>
        <mc:AlternateContent xmlns:mc="http://schemas.openxmlformats.org/markup-compatibility/2006">
          <mc:Choice Requires="x14">
            <control shapeId="1584135" r:id="rId9" name="Button 7">
              <controlPr defaultSize="0" print="0" autoFill="0" autoPict="0" macro="[0]!Bulus">
                <anchor moveWithCells="1" sizeWithCells="1">
                  <from>
                    <xdr:col>15</xdr:col>
                    <xdr:colOff>323850</xdr:colOff>
                    <xdr:row>37</xdr:row>
                    <xdr:rowOff>123825</xdr:rowOff>
                  </from>
                  <to>
                    <xdr:col>17</xdr:col>
                    <xdr:colOff>304800</xdr:colOff>
                    <xdr:row>38</xdr:row>
                    <xdr:rowOff>133350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39997558519241921"/>
    <pageSetUpPr fitToPage="1"/>
  </sheetPr>
  <dimension ref="A1:BN96"/>
  <sheetViews>
    <sheetView view="pageBreakPreview" zoomScale="70" zoomScaleNormal="85" zoomScaleSheetLayoutView="70" workbookViewId="0">
      <selection activeCell="A40" sqref="A40:XFD96"/>
    </sheetView>
  </sheetViews>
  <sheetFormatPr defaultColWidth="9.140625" defaultRowHeight="12.75" outlineLevelRow="1"/>
  <cols>
    <col min="1" max="1" width="11.42578125" style="769" customWidth="1"/>
    <col min="2" max="2" width="23" style="769" customWidth="1"/>
    <col min="3" max="3" width="1" style="769" hidden="1" customWidth="1"/>
    <col min="4" max="27" width="6.7109375" style="769" customWidth="1"/>
    <col min="28" max="28" width="11.42578125" style="769" customWidth="1"/>
    <col min="29" max="29" width="12.140625" style="769" hidden="1" customWidth="1"/>
    <col min="30" max="30" width="18.85546875" style="769" hidden="1" customWidth="1"/>
    <col min="31" max="41" width="9" style="769" hidden="1" customWidth="1"/>
    <col min="42" max="43" width="11.140625" style="769" hidden="1" customWidth="1"/>
    <col min="44" max="52" width="9" style="769" hidden="1" customWidth="1"/>
    <col min="53" max="53" width="9.140625" style="769" hidden="1" customWidth="1"/>
    <col min="54" max="56" width="9" style="769" hidden="1" customWidth="1"/>
    <col min="57" max="60" width="10.7109375" style="769" hidden="1" customWidth="1"/>
    <col min="61" max="62" width="11.140625" style="769" hidden="1" customWidth="1"/>
    <col min="63" max="64" width="10" style="769" hidden="1" customWidth="1"/>
    <col min="65" max="65" width="0" style="769" hidden="1" customWidth="1"/>
    <col min="66" max="66" width="9.85546875" style="769" hidden="1" customWidth="1"/>
    <col min="67" max="82" width="0" style="769" hidden="1" customWidth="1"/>
    <col min="83" max="16384" width="9.140625" style="769"/>
  </cols>
  <sheetData>
    <row r="1" spans="1:56" ht="57" customHeight="1">
      <c r="A1" s="779"/>
      <c r="B1" s="779"/>
      <c r="C1" s="779"/>
      <c r="D1" s="779"/>
      <c r="E1" s="779"/>
      <c r="F1" s="779"/>
      <c r="G1" s="779"/>
      <c r="H1" s="779"/>
      <c r="I1" s="779"/>
      <c r="J1" s="779"/>
      <c r="K1" s="779"/>
      <c r="L1" s="779"/>
      <c r="M1" s="779"/>
      <c r="N1" s="779"/>
      <c r="O1" s="779"/>
      <c r="P1" s="779"/>
      <c r="Q1" s="779"/>
      <c r="R1" s="779"/>
      <c r="S1" s="779"/>
      <c r="T1" s="779"/>
      <c r="U1" s="779"/>
      <c r="V1" s="779"/>
      <c r="W1" s="779"/>
      <c r="X1" s="779"/>
      <c r="Y1" s="779"/>
      <c r="Z1" s="779"/>
      <c r="AA1" s="779"/>
      <c r="AB1" s="779"/>
    </row>
    <row r="2" spans="1:56" ht="19.5" customHeight="1">
      <c r="A2" s="779"/>
      <c r="B2" s="781"/>
      <c r="C2" s="781"/>
      <c r="D2" s="779"/>
      <c r="E2" s="779"/>
      <c r="F2" s="779"/>
      <c r="G2" s="779"/>
      <c r="H2" s="779"/>
      <c r="I2" s="779"/>
      <c r="J2" s="779"/>
      <c r="K2" s="779"/>
      <c r="L2" s="779"/>
      <c r="M2" s="779"/>
      <c r="N2" s="779"/>
      <c r="O2" s="779"/>
      <c r="P2" s="779"/>
      <c r="Q2" s="779"/>
      <c r="R2" s="779"/>
      <c r="S2" s="779"/>
      <c r="T2" s="779"/>
      <c r="U2" s="779"/>
      <c r="V2" s="779"/>
      <c r="W2" s="779"/>
      <c r="X2" s="779"/>
      <c r="Y2" s="779"/>
      <c r="Z2" s="779"/>
      <c r="AA2" s="779"/>
      <c r="AB2" s="779"/>
    </row>
    <row r="3" spans="1:56" ht="12.75" customHeight="1">
      <c r="A3" s="779"/>
      <c r="B3" s="779"/>
      <c r="C3" s="779"/>
      <c r="D3" s="793"/>
      <c r="E3" s="793" t="str">
        <f>D5&amp;"1"</f>
        <v>20151</v>
      </c>
      <c r="F3" s="793"/>
      <c r="G3" s="793" t="str">
        <f>F5&amp;"1"</f>
        <v>20161</v>
      </c>
      <c r="H3" s="793"/>
      <c r="I3" s="793" t="str">
        <f>H5&amp;"1"</f>
        <v>20171</v>
      </c>
      <c r="J3" s="793"/>
      <c r="K3" s="793" t="str">
        <f>J5&amp;"1"</f>
        <v>20181</v>
      </c>
      <c r="L3" s="793"/>
      <c r="M3" s="793" t="str">
        <f>L5&amp;"1"</f>
        <v>20191</v>
      </c>
      <c r="N3" s="793"/>
      <c r="O3" s="793" t="str">
        <f>N5&amp;"1"</f>
        <v>20201</v>
      </c>
      <c r="P3" s="793"/>
      <c r="Q3" s="793" t="str">
        <f>P5&amp;"1"</f>
        <v>20211</v>
      </c>
      <c r="R3" s="793"/>
      <c r="S3" s="793" t="str">
        <f>R5&amp;"1"</f>
        <v>20221</v>
      </c>
      <c r="T3" s="793"/>
      <c r="U3" s="793" t="str">
        <f>T5&amp;"1"</f>
        <v>20231</v>
      </c>
      <c r="V3" s="793"/>
      <c r="W3" s="793" t="str">
        <f>V5&amp;"1"</f>
        <v>20241</v>
      </c>
      <c r="X3" s="793"/>
      <c r="Y3" s="793" t="str">
        <f>X5&amp;"1"</f>
        <v>20251</v>
      </c>
      <c r="Z3" s="793"/>
      <c r="AA3" s="793" t="str">
        <f>Z5&amp;"1"</f>
        <v>過去10年
平均増減率1</v>
      </c>
      <c r="AB3" s="793"/>
      <c r="AC3" s="794"/>
    </row>
    <row r="4" spans="1:56" ht="20.25" customHeight="1" thickBot="1">
      <c r="A4" s="779"/>
      <c r="B4" s="779"/>
      <c r="C4" s="779"/>
      <c r="D4" s="793"/>
      <c r="E4" s="793"/>
      <c r="F4" s="793"/>
      <c r="G4" s="793"/>
      <c r="H4" s="793"/>
      <c r="I4" s="793"/>
      <c r="J4" s="793"/>
      <c r="K4" s="793"/>
      <c r="L4" s="793"/>
      <c r="M4" s="793"/>
      <c r="N4" s="793"/>
      <c r="O4" s="793"/>
      <c r="P4" s="793"/>
      <c r="Q4" s="793"/>
      <c r="R4" s="793"/>
      <c r="S4" s="793"/>
      <c r="T4" s="793"/>
      <c r="U4" s="793"/>
      <c r="V4" s="793"/>
      <c r="W4" s="793"/>
      <c r="X4" s="793"/>
      <c r="Y4" s="795"/>
      <c r="Z4" s="793"/>
      <c r="AA4" s="2072" t="s">
        <v>1712</v>
      </c>
      <c r="AB4" s="793"/>
      <c r="AC4" s="794"/>
      <c r="AD4" s="769" t="s">
        <v>557</v>
      </c>
    </row>
    <row r="5" spans="1:56" ht="24" customHeight="1">
      <c r="A5" s="779"/>
      <c r="B5" s="796"/>
      <c r="C5" s="2314" t="s">
        <v>22</v>
      </c>
      <c r="D5" s="2206">
        <v>2015</v>
      </c>
      <c r="E5" s="2206"/>
      <c r="F5" s="2206">
        <v>2016</v>
      </c>
      <c r="G5" s="2206"/>
      <c r="H5" s="2206">
        <v>2017</v>
      </c>
      <c r="I5" s="2206"/>
      <c r="J5" s="2206">
        <v>2018</v>
      </c>
      <c r="K5" s="2206"/>
      <c r="L5" s="2206">
        <v>2019</v>
      </c>
      <c r="M5" s="2206"/>
      <c r="N5" s="2206">
        <v>2020</v>
      </c>
      <c r="O5" s="2206"/>
      <c r="P5" s="2206">
        <v>2021</v>
      </c>
      <c r="Q5" s="2206"/>
      <c r="R5" s="2206">
        <v>2022</v>
      </c>
      <c r="S5" s="2206"/>
      <c r="T5" s="2206">
        <v>2023</v>
      </c>
      <c r="U5" s="2206"/>
      <c r="V5" s="2206">
        <v>2024</v>
      </c>
      <c r="W5" s="2206"/>
      <c r="X5" s="2305">
        <v>2025</v>
      </c>
      <c r="Y5" s="2306"/>
      <c r="Z5" s="2309" t="s">
        <v>558</v>
      </c>
      <c r="AA5" s="2310"/>
      <c r="AB5" s="779"/>
      <c r="AD5" s="2022"/>
      <c r="AE5" s="2334">
        <v>1990</v>
      </c>
      <c r="AF5" s="2334">
        <v>1995</v>
      </c>
      <c r="AG5" s="2327">
        <v>2015</v>
      </c>
      <c r="AH5" s="2321">
        <f>AG5</f>
        <v>2015</v>
      </c>
      <c r="AI5" s="2327">
        <f t="shared" ref="AI5:BB5" si="0">AG5+1</f>
        <v>2016</v>
      </c>
      <c r="AJ5" s="2321">
        <f t="shared" si="0"/>
        <v>2016</v>
      </c>
      <c r="AK5" s="2327">
        <f t="shared" si="0"/>
        <v>2017</v>
      </c>
      <c r="AL5" s="2321">
        <f t="shared" si="0"/>
        <v>2017</v>
      </c>
      <c r="AM5" s="2327">
        <f t="shared" si="0"/>
        <v>2018</v>
      </c>
      <c r="AN5" s="2321">
        <f t="shared" si="0"/>
        <v>2018</v>
      </c>
      <c r="AO5" s="2327">
        <f t="shared" si="0"/>
        <v>2019</v>
      </c>
      <c r="AP5" s="2321">
        <f t="shared" si="0"/>
        <v>2019</v>
      </c>
      <c r="AQ5" s="2327">
        <f t="shared" si="0"/>
        <v>2020</v>
      </c>
      <c r="AR5" s="2321">
        <f t="shared" si="0"/>
        <v>2020</v>
      </c>
      <c r="AS5" s="2327">
        <f t="shared" si="0"/>
        <v>2021</v>
      </c>
      <c r="AT5" s="2321">
        <f t="shared" si="0"/>
        <v>2021</v>
      </c>
      <c r="AU5" s="2327">
        <f t="shared" si="0"/>
        <v>2022</v>
      </c>
      <c r="AV5" s="2321">
        <f t="shared" si="0"/>
        <v>2022</v>
      </c>
      <c r="AW5" s="2327">
        <f t="shared" si="0"/>
        <v>2023</v>
      </c>
      <c r="AX5" s="2321">
        <f t="shared" si="0"/>
        <v>2023</v>
      </c>
      <c r="AY5" s="2327">
        <f t="shared" si="0"/>
        <v>2024</v>
      </c>
      <c r="AZ5" s="2324">
        <f t="shared" si="0"/>
        <v>2024</v>
      </c>
      <c r="BA5" s="2330">
        <f t="shared" si="0"/>
        <v>2025</v>
      </c>
      <c r="BB5" s="2333">
        <f t="shared" si="0"/>
        <v>2025</v>
      </c>
      <c r="BC5" s="2319" t="s">
        <v>559</v>
      </c>
      <c r="BD5" s="2320"/>
    </row>
    <row r="6" spans="1:56" ht="18.95" customHeight="1">
      <c r="A6" s="779"/>
      <c r="B6" s="796"/>
      <c r="C6" s="2315"/>
      <c r="D6" s="2311"/>
      <c r="E6" s="2311"/>
      <c r="F6" s="2311"/>
      <c r="G6" s="2311"/>
      <c r="H6" s="2311"/>
      <c r="I6" s="2311"/>
      <c r="J6" s="2311"/>
      <c r="K6" s="2311"/>
      <c r="L6" s="2311"/>
      <c r="M6" s="2311"/>
      <c r="N6" s="2311"/>
      <c r="O6" s="2311"/>
      <c r="P6" s="2311"/>
      <c r="Q6" s="2311"/>
      <c r="R6" s="2311"/>
      <c r="S6" s="2311"/>
      <c r="T6" s="2311"/>
      <c r="U6" s="2311"/>
      <c r="V6" s="2311"/>
      <c r="W6" s="2311"/>
      <c r="X6" s="2307"/>
      <c r="Y6" s="2308"/>
      <c r="Z6" s="2303" t="s">
        <v>1152</v>
      </c>
      <c r="AA6" s="2304"/>
      <c r="AB6" s="779"/>
      <c r="AD6" s="798"/>
      <c r="AE6" s="2335"/>
      <c r="AF6" s="2335"/>
      <c r="AG6" s="2328"/>
      <c r="AH6" s="2322"/>
      <c r="AI6" s="2328"/>
      <c r="AJ6" s="2322"/>
      <c r="AK6" s="2328"/>
      <c r="AL6" s="2322"/>
      <c r="AM6" s="2328"/>
      <c r="AN6" s="2322"/>
      <c r="AO6" s="2328"/>
      <c r="AP6" s="2322"/>
      <c r="AQ6" s="2328"/>
      <c r="AR6" s="2322"/>
      <c r="AS6" s="2328"/>
      <c r="AT6" s="2322"/>
      <c r="AU6" s="2328"/>
      <c r="AV6" s="2322"/>
      <c r="AW6" s="2328"/>
      <c r="AX6" s="2322"/>
      <c r="AY6" s="2328"/>
      <c r="AZ6" s="2325"/>
      <c r="BA6" s="2331"/>
      <c r="BB6" s="2325"/>
      <c r="BC6" s="799"/>
      <c r="BD6" s="800"/>
    </row>
    <row r="7" spans="1:56" ht="15" customHeight="1">
      <c r="A7" s="779"/>
      <c r="B7" s="801" t="s">
        <v>560</v>
      </c>
      <c r="C7" s="2315"/>
      <c r="D7" s="1901" t="s">
        <v>561</v>
      </c>
      <c r="E7" s="1902" t="s">
        <v>562</v>
      </c>
      <c r="F7" s="1919" t="s">
        <v>561</v>
      </c>
      <c r="G7" s="1920" t="s">
        <v>563</v>
      </c>
      <c r="H7" s="1901" t="s">
        <v>561</v>
      </c>
      <c r="I7" s="1902" t="s">
        <v>563</v>
      </c>
      <c r="J7" s="1919" t="s">
        <v>561</v>
      </c>
      <c r="K7" s="1920" t="s">
        <v>563</v>
      </c>
      <c r="L7" s="1901" t="s">
        <v>561</v>
      </c>
      <c r="M7" s="1902" t="s">
        <v>563</v>
      </c>
      <c r="N7" s="1919" t="s">
        <v>561</v>
      </c>
      <c r="O7" s="1920" t="s">
        <v>563</v>
      </c>
      <c r="P7" s="1901" t="s">
        <v>561</v>
      </c>
      <c r="Q7" s="1902" t="s">
        <v>563</v>
      </c>
      <c r="R7" s="1919" t="s">
        <v>561</v>
      </c>
      <c r="S7" s="1920" t="s">
        <v>563</v>
      </c>
      <c r="T7" s="1901" t="s">
        <v>561</v>
      </c>
      <c r="U7" s="1902" t="s">
        <v>563</v>
      </c>
      <c r="V7" s="1919" t="s">
        <v>561</v>
      </c>
      <c r="W7" s="1920" t="s">
        <v>563</v>
      </c>
      <c r="X7" s="1901" t="s">
        <v>561</v>
      </c>
      <c r="Y7" s="1902" t="s">
        <v>563</v>
      </c>
      <c r="Z7" s="1919" t="s">
        <v>561</v>
      </c>
      <c r="AA7" s="1902" t="s">
        <v>563</v>
      </c>
      <c r="AB7" s="779"/>
      <c r="AD7" s="798"/>
      <c r="AE7" s="2335"/>
      <c r="AF7" s="2335"/>
      <c r="AG7" s="2329"/>
      <c r="AH7" s="2323"/>
      <c r="AI7" s="2329"/>
      <c r="AJ7" s="2323"/>
      <c r="AK7" s="2329"/>
      <c r="AL7" s="2323"/>
      <c r="AM7" s="2329"/>
      <c r="AN7" s="2323"/>
      <c r="AO7" s="2329"/>
      <c r="AP7" s="2323"/>
      <c r="AQ7" s="2329"/>
      <c r="AR7" s="2323"/>
      <c r="AS7" s="2329"/>
      <c r="AT7" s="2323"/>
      <c r="AU7" s="2329"/>
      <c r="AV7" s="2323"/>
      <c r="AW7" s="2329"/>
      <c r="AX7" s="2323"/>
      <c r="AY7" s="2329"/>
      <c r="AZ7" s="2326"/>
      <c r="BA7" s="2332"/>
      <c r="BB7" s="2326"/>
      <c r="BC7" s="2317" t="s">
        <v>5</v>
      </c>
      <c r="BD7" s="2318"/>
    </row>
    <row r="8" spans="1:56" ht="9.9499999999999993" customHeight="1">
      <c r="A8" s="779"/>
      <c r="B8" s="802" t="s">
        <v>512</v>
      </c>
      <c r="C8" s="2316"/>
      <c r="D8" s="1903" t="s">
        <v>23</v>
      </c>
      <c r="E8" s="1904" t="s">
        <v>24</v>
      </c>
      <c r="F8" s="1921" t="s">
        <v>168</v>
      </c>
      <c r="G8" s="1922" t="s">
        <v>169</v>
      </c>
      <c r="H8" s="1903" t="s">
        <v>168</v>
      </c>
      <c r="I8" s="1904" t="s">
        <v>169</v>
      </c>
      <c r="J8" s="1921" t="s">
        <v>168</v>
      </c>
      <c r="K8" s="1922" t="s">
        <v>169</v>
      </c>
      <c r="L8" s="1903" t="s">
        <v>168</v>
      </c>
      <c r="M8" s="1904" t="s">
        <v>169</v>
      </c>
      <c r="N8" s="1921" t="s">
        <v>168</v>
      </c>
      <c r="O8" s="1922" t="s">
        <v>169</v>
      </c>
      <c r="P8" s="1903" t="s">
        <v>168</v>
      </c>
      <c r="Q8" s="1904" t="s">
        <v>169</v>
      </c>
      <c r="R8" s="1921" t="s">
        <v>168</v>
      </c>
      <c r="S8" s="1922" t="s">
        <v>169</v>
      </c>
      <c r="T8" s="1903" t="s">
        <v>168</v>
      </c>
      <c r="U8" s="1904" t="s">
        <v>169</v>
      </c>
      <c r="V8" s="1921" t="s">
        <v>168</v>
      </c>
      <c r="W8" s="1922" t="s">
        <v>169</v>
      </c>
      <c r="X8" s="1903" t="s">
        <v>168</v>
      </c>
      <c r="Y8" s="1904" t="s">
        <v>169</v>
      </c>
      <c r="Z8" s="1921" t="s">
        <v>168</v>
      </c>
      <c r="AA8" s="1904" t="s">
        <v>169</v>
      </c>
      <c r="AB8" s="779"/>
      <c r="AD8" s="798"/>
      <c r="AE8" s="803" t="s">
        <v>564</v>
      </c>
      <c r="AF8" s="803" t="s">
        <v>564</v>
      </c>
      <c r="AG8" s="804" t="s">
        <v>565</v>
      </c>
      <c r="AH8" s="805" t="s">
        <v>564</v>
      </c>
      <c r="AI8" s="804" t="s">
        <v>565</v>
      </c>
      <c r="AJ8" s="805" t="s">
        <v>564</v>
      </c>
      <c r="AK8" s="804" t="s">
        <v>565</v>
      </c>
      <c r="AL8" s="805" t="s">
        <v>564</v>
      </c>
      <c r="AM8" s="804" t="s">
        <v>565</v>
      </c>
      <c r="AN8" s="805" t="s">
        <v>564</v>
      </c>
      <c r="AO8" s="804" t="s">
        <v>565</v>
      </c>
      <c r="AP8" s="805" t="s">
        <v>564</v>
      </c>
      <c r="AQ8" s="804" t="s">
        <v>565</v>
      </c>
      <c r="AR8" s="805" t="s">
        <v>564</v>
      </c>
      <c r="AS8" s="804" t="s">
        <v>565</v>
      </c>
      <c r="AT8" s="805" t="s">
        <v>564</v>
      </c>
      <c r="AU8" s="804" t="s">
        <v>565</v>
      </c>
      <c r="AV8" s="805" t="s">
        <v>564</v>
      </c>
      <c r="AW8" s="804" t="s">
        <v>565</v>
      </c>
      <c r="AX8" s="805" t="s">
        <v>564</v>
      </c>
      <c r="AY8" s="804" t="s">
        <v>565</v>
      </c>
      <c r="AZ8" s="806" t="s">
        <v>564</v>
      </c>
      <c r="BA8" s="807" t="s">
        <v>565</v>
      </c>
      <c r="BB8" s="806" t="s">
        <v>564</v>
      </c>
      <c r="BC8" s="807" t="s">
        <v>565</v>
      </c>
      <c r="BD8" s="808" t="s">
        <v>564</v>
      </c>
    </row>
    <row r="9" spans="1:56" ht="27" customHeight="1" thickBot="1">
      <c r="A9" s="779"/>
      <c r="B9" s="992" t="s">
        <v>513</v>
      </c>
      <c r="C9" s="993"/>
      <c r="D9" s="1905">
        <f t="shared" ref="D9:D13" si="1">INT(AG10/1000)</f>
        <v>2374</v>
      </c>
      <c r="E9" s="1914">
        <f t="shared" ref="E9:E13" si="2">AH10</f>
        <v>33</v>
      </c>
      <c r="F9" s="1923">
        <f t="shared" ref="F9:F13" si="3">INT(AI10/1000)</f>
        <v>2345</v>
      </c>
      <c r="G9" s="1924">
        <f t="shared" ref="G9:G13" si="4">AJ10</f>
        <v>32.5</v>
      </c>
      <c r="H9" s="1905">
        <f t="shared" ref="H9:H13" si="5">INT(AK10/1000)</f>
        <v>2586</v>
      </c>
      <c r="I9" s="1914">
        <f t="shared" ref="I9:I13" si="6">AL10</f>
        <v>34.4</v>
      </c>
      <c r="J9" s="1923">
        <f t="shared" ref="J9:J13" si="7">INT(AM10/1000)</f>
        <v>2900</v>
      </c>
      <c r="K9" s="1924">
        <f t="shared" ref="K9:K13" si="8">AN10</f>
        <v>39.4</v>
      </c>
      <c r="L9" s="1905">
        <f t="shared" ref="L9:L13" si="9">INT(AO10/1000)</f>
        <v>2981</v>
      </c>
      <c r="M9" s="1914">
        <f t="shared" ref="M9:M13" si="10">AP10</f>
        <v>39</v>
      </c>
      <c r="N9" s="1923">
        <f t="shared" ref="N9:N13" si="11">INT(AQ10/1000)</f>
        <v>2679</v>
      </c>
      <c r="O9" s="1924">
        <f t="shared" ref="O9:O13" si="12">AR10</f>
        <v>37.700000000000003</v>
      </c>
      <c r="P9" s="1905">
        <f t="shared" ref="P9:P13" si="13">INT(AS10/1000)</f>
        <v>2736</v>
      </c>
      <c r="Q9" s="1914">
        <f t="shared" ref="Q9:Q13" si="14">AT10</f>
        <v>39.1</v>
      </c>
      <c r="R9" s="1923">
        <f t="shared" ref="R9:R13" si="15">INT(AU10/1000)</f>
        <v>2834</v>
      </c>
      <c r="S9" s="1924">
        <f t="shared" ref="S9:S13" si="16">AV10</f>
        <v>40.799999999999997</v>
      </c>
      <c r="T9" s="1905">
        <f t="shared" ref="T9:T13" si="17">INT(AW10/1000)</f>
        <v>3156</v>
      </c>
      <c r="U9" s="1914">
        <f t="shared" ref="U9:U13" si="18">AX10</f>
        <v>39.6</v>
      </c>
      <c r="V9" s="1923">
        <f t="shared" ref="V9:V13" si="19">INT(AY10/1000)</f>
        <v>3112</v>
      </c>
      <c r="W9" s="1924">
        <f t="shared" ref="W9:W13" si="20">AZ10</f>
        <v>41.4</v>
      </c>
      <c r="X9" s="1905">
        <f t="shared" ref="X9:X13" si="21">INT(BA10/1000)</f>
        <v>3464</v>
      </c>
      <c r="Y9" s="1914">
        <f t="shared" ref="Y9:AA12" si="22">BB10</f>
        <v>43.2</v>
      </c>
      <c r="Z9" s="1933">
        <f t="shared" si="22"/>
        <v>3.8485371256536283</v>
      </c>
      <c r="AA9" s="1906">
        <f t="shared" si="22"/>
        <v>1.0200000000000002</v>
      </c>
      <c r="AB9" s="809"/>
      <c r="AC9" s="810"/>
      <c r="AD9" s="798"/>
      <c r="AE9" s="803"/>
      <c r="AF9" s="803"/>
      <c r="AG9" s="804"/>
      <c r="AH9" s="805"/>
      <c r="AI9" s="804"/>
      <c r="AJ9" s="805"/>
      <c r="AK9" s="804"/>
      <c r="AL9" s="805"/>
      <c r="AM9" s="804"/>
      <c r="AN9" s="805"/>
      <c r="AO9" s="804"/>
      <c r="AP9" s="805"/>
      <c r="AQ9" s="804"/>
      <c r="AR9" s="805"/>
      <c r="AS9" s="804"/>
      <c r="AT9" s="805"/>
      <c r="AU9" s="804"/>
      <c r="AV9" s="805"/>
      <c r="AW9" s="804"/>
      <c r="AX9" s="805"/>
      <c r="AY9" s="804"/>
      <c r="AZ9" s="806"/>
      <c r="BA9" s="807"/>
      <c r="BB9" s="806"/>
      <c r="BC9" s="807"/>
      <c r="BD9" s="808"/>
    </row>
    <row r="10" spans="1:56" ht="27" customHeight="1" thickBot="1">
      <c r="A10" s="779"/>
      <c r="B10" s="965" t="s">
        <v>514</v>
      </c>
      <c r="C10" s="677" t="s">
        <v>641</v>
      </c>
      <c r="D10" s="1907">
        <f t="shared" si="1"/>
        <v>612</v>
      </c>
      <c r="E10" s="1915">
        <f t="shared" si="2"/>
        <v>8.5</v>
      </c>
      <c r="F10" s="1925">
        <f t="shared" si="3"/>
        <v>638</v>
      </c>
      <c r="G10" s="1926">
        <f t="shared" si="4"/>
        <v>8.9</v>
      </c>
      <c r="H10" s="1907">
        <f t="shared" si="5"/>
        <v>491</v>
      </c>
      <c r="I10" s="1915">
        <f t="shared" si="6"/>
        <v>6.5</v>
      </c>
      <c r="J10" s="1925">
        <f t="shared" si="7"/>
        <v>0</v>
      </c>
      <c r="K10" s="1926">
        <f t="shared" si="8"/>
        <v>0</v>
      </c>
      <c r="L10" s="1907">
        <f t="shared" si="9"/>
        <v>0</v>
      </c>
      <c r="M10" s="1915">
        <f t="shared" si="10"/>
        <v>0</v>
      </c>
      <c r="N10" s="1925">
        <f t="shared" si="11"/>
        <v>0</v>
      </c>
      <c r="O10" s="1926">
        <f t="shared" si="12"/>
        <v>0</v>
      </c>
      <c r="P10" s="1907">
        <f t="shared" si="13"/>
        <v>0</v>
      </c>
      <c r="Q10" s="1915">
        <f t="shared" si="14"/>
        <v>0</v>
      </c>
      <c r="R10" s="1925">
        <f t="shared" si="15"/>
        <v>0</v>
      </c>
      <c r="S10" s="1926">
        <f t="shared" si="16"/>
        <v>0</v>
      </c>
      <c r="T10" s="1907">
        <f t="shared" si="17"/>
        <v>0</v>
      </c>
      <c r="U10" s="1915">
        <f t="shared" si="18"/>
        <v>0</v>
      </c>
      <c r="V10" s="1925">
        <f t="shared" si="19"/>
        <v>0</v>
      </c>
      <c r="W10" s="1926">
        <f t="shared" si="20"/>
        <v>0</v>
      </c>
      <c r="X10" s="1907">
        <f t="shared" si="21"/>
        <v>0</v>
      </c>
      <c r="Y10" s="1915">
        <f t="shared" si="22"/>
        <v>0</v>
      </c>
      <c r="Z10" s="1934" t="str">
        <f t="shared" si="22"/>
        <v>-</v>
      </c>
      <c r="AA10" s="1908" t="str">
        <f t="shared" si="22"/>
        <v>-</v>
      </c>
      <c r="AB10" s="809"/>
      <c r="AC10" s="810"/>
      <c r="AD10" s="811" t="s">
        <v>1090</v>
      </c>
      <c r="AE10" s="812">
        <v>7</v>
      </c>
      <c r="AF10" s="812">
        <v>12.6</v>
      </c>
      <c r="AG10" s="813">
        <v>2374537</v>
      </c>
      <c r="AH10" s="814">
        <f t="shared" ref="AH10:AH16" si="23">ROUND(AG10/AG$18,3)*100</f>
        <v>33</v>
      </c>
      <c r="AI10" s="813">
        <v>2345803</v>
      </c>
      <c r="AJ10" s="814">
        <f t="shared" ref="AJ10:AJ16" si="24">ROUND(AI10/AI$18,3)*100</f>
        <v>32.5</v>
      </c>
      <c r="AK10" s="813">
        <v>2586955</v>
      </c>
      <c r="AL10" s="814">
        <f t="shared" ref="AL10:AL16" si="25">ROUND(AK10/AK$18,3)*100</f>
        <v>34.4</v>
      </c>
      <c r="AM10" s="813">
        <v>2900232</v>
      </c>
      <c r="AN10" s="814">
        <f t="shared" ref="AN10:AN16" si="26">ROUND(AM10/AM$18,3)*100</f>
        <v>39.4</v>
      </c>
      <c r="AO10" s="813">
        <v>2981694</v>
      </c>
      <c r="AP10" s="814">
        <f t="shared" ref="AP10:AP16" si="27">ROUND(AO10/AO$18,3)*100</f>
        <v>39</v>
      </c>
      <c r="AQ10" s="813">
        <v>2679586</v>
      </c>
      <c r="AR10" s="814">
        <f t="shared" ref="AR10:AR16" si="28">ROUND(AQ10/AQ$18,3)*100</f>
        <v>37.700000000000003</v>
      </c>
      <c r="AS10" s="813">
        <v>2736613</v>
      </c>
      <c r="AT10" s="814">
        <f t="shared" ref="AT10:AT16" si="29">ROUND(AS10/AS$18,3)*100</f>
        <v>39.1</v>
      </c>
      <c r="AU10" s="813">
        <v>2834051</v>
      </c>
      <c r="AV10" s="814">
        <f>ROUND(AU10/AU$18,3)*100</f>
        <v>40.799999999999997</v>
      </c>
      <c r="AW10" s="813">
        <v>3156160</v>
      </c>
      <c r="AX10" s="814">
        <f t="shared" ref="AX10:AX16" si="30">ROUND(AW10/AW$18,3)*100</f>
        <v>39.6</v>
      </c>
      <c r="AY10" s="813">
        <v>3112441</v>
      </c>
      <c r="AZ10" s="814">
        <f t="shared" ref="AZ10:AZ16" si="31">ROUND(AY10/AY$18,3)*100</f>
        <v>41.4</v>
      </c>
      <c r="BA10" s="815">
        <v>3464039</v>
      </c>
      <c r="BB10" s="814">
        <f t="shared" ref="BB10:BB16" si="32">ROUND(BA10/BA$18,3)*100</f>
        <v>43.2</v>
      </c>
      <c r="BC10" s="816">
        <f>((BA10/AG10)^(1/10)-1)*100</f>
        <v>3.8485371256536283</v>
      </c>
      <c r="BD10" s="817">
        <f>(BB10-AH10)/10</f>
        <v>1.0200000000000002</v>
      </c>
    </row>
    <row r="11" spans="1:56" ht="27" customHeight="1">
      <c r="A11" s="779"/>
      <c r="B11" s="994" t="s">
        <v>1096</v>
      </c>
      <c r="C11" s="995" t="s">
        <v>642</v>
      </c>
      <c r="D11" s="1909">
        <f t="shared" si="1"/>
        <v>708</v>
      </c>
      <c r="E11" s="1916">
        <f t="shared" si="2"/>
        <v>9.9</v>
      </c>
      <c r="F11" s="1927">
        <f t="shared" si="3"/>
        <v>723</v>
      </c>
      <c r="G11" s="1928">
        <f t="shared" si="4"/>
        <v>10</v>
      </c>
      <c r="H11" s="1909">
        <f t="shared" si="5"/>
        <v>810</v>
      </c>
      <c r="I11" s="1916">
        <f t="shared" si="6"/>
        <v>10.8</v>
      </c>
      <c r="J11" s="1927">
        <f t="shared" si="7"/>
        <v>831</v>
      </c>
      <c r="K11" s="1928">
        <f t="shared" si="8"/>
        <v>11.3</v>
      </c>
      <c r="L11" s="1909">
        <f t="shared" si="9"/>
        <v>917</v>
      </c>
      <c r="M11" s="1916">
        <f t="shared" si="10"/>
        <v>12</v>
      </c>
      <c r="N11" s="1927">
        <f t="shared" si="11"/>
        <v>929</v>
      </c>
      <c r="O11" s="1928">
        <f t="shared" si="12"/>
        <v>13.100000000000001</v>
      </c>
      <c r="P11" s="1909">
        <f t="shared" si="13"/>
        <v>891</v>
      </c>
      <c r="Q11" s="1916">
        <f t="shared" si="14"/>
        <v>12.7</v>
      </c>
      <c r="R11" s="1927">
        <f t="shared" si="15"/>
        <v>809</v>
      </c>
      <c r="S11" s="1928">
        <f t="shared" si="16"/>
        <v>11.700000000000001</v>
      </c>
      <c r="T11" s="1909">
        <f t="shared" si="17"/>
        <v>1025</v>
      </c>
      <c r="U11" s="1916">
        <f t="shared" si="18"/>
        <v>12.9</v>
      </c>
      <c r="V11" s="1927">
        <f t="shared" si="19"/>
        <v>893</v>
      </c>
      <c r="W11" s="1928">
        <f t="shared" si="20"/>
        <v>11.899999999999999</v>
      </c>
      <c r="X11" s="1909">
        <f t="shared" si="21"/>
        <v>990</v>
      </c>
      <c r="Y11" s="1916">
        <f t="shared" si="22"/>
        <v>12.4</v>
      </c>
      <c r="Z11" s="1935">
        <f t="shared" si="22"/>
        <v>3.3977150998083294</v>
      </c>
      <c r="AA11" s="1910">
        <f t="shared" si="22"/>
        <v>0.25</v>
      </c>
      <c r="AB11" s="809"/>
      <c r="AC11" s="810"/>
      <c r="AD11" s="2023" t="s">
        <v>1039</v>
      </c>
      <c r="AE11" s="2024"/>
      <c r="AF11" s="2024"/>
      <c r="AG11" s="2076">
        <v>612478</v>
      </c>
      <c r="AH11" s="820">
        <f t="shared" si="23"/>
        <v>8.5</v>
      </c>
      <c r="AI11" s="2076">
        <v>638548</v>
      </c>
      <c r="AJ11" s="820">
        <f t="shared" si="24"/>
        <v>8.9</v>
      </c>
      <c r="AK11" s="2076">
        <v>491777</v>
      </c>
      <c r="AL11" s="820">
        <f t="shared" si="25"/>
        <v>6.5</v>
      </c>
      <c r="AM11" s="2076">
        <v>0</v>
      </c>
      <c r="AN11" s="820">
        <f t="shared" si="26"/>
        <v>0</v>
      </c>
      <c r="AO11" s="2076">
        <v>0</v>
      </c>
      <c r="AP11" s="820">
        <f t="shared" si="27"/>
        <v>0</v>
      </c>
      <c r="AQ11" s="2076">
        <v>0</v>
      </c>
      <c r="AR11" s="820">
        <f t="shared" si="28"/>
        <v>0</v>
      </c>
      <c r="AS11" s="2076">
        <v>0</v>
      </c>
      <c r="AT11" s="820">
        <f t="shared" si="29"/>
        <v>0</v>
      </c>
      <c r="AU11" s="2076">
        <v>0</v>
      </c>
      <c r="AV11" s="820">
        <f t="shared" ref="AV11:AV16" si="33">ROUND(AU11/AU$18,3)*100</f>
        <v>0</v>
      </c>
      <c r="AW11" s="2076">
        <v>0</v>
      </c>
      <c r="AX11" s="820">
        <f t="shared" si="30"/>
        <v>0</v>
      </c>
      <c r="AY11" s="2076">
        <v>0</v>
      </c>
      <c r="AZ11" s="820">
        <f t="shared" si="31"/>
        <v>0</v>
      </c>
      <c r="BA11" s="821">
        <v>0</v>
      </c>
      <c r="BB11" s="820">
        <f t="shared" si="32"/>
        <v>0</v>
      </c>
      <c r="BC11" s="822" t="s">
        <v>248</v>
      </c>
      <c r="BD11" s="823" t="s">
        <v>340</v>
      </c>
    </row>
    <row r="12" spans="1:56" ht="27" customHeight="1">
      <c r="A12" s="779"/>
      <c r="B12" s="965" t="s">
        <v>1517</v>
      </c>
      <c r="C12" s="677" t="s">
        <v>643</v>
      </c>
      <c r="D12" s="1911">
        <f t="shared" si="1"/>
        <v>378</v>
      </c>
      <c r="E12" s="1917">
        <f t="shared" si="2"/>
        <v>5.3</v>
      </c>
      <c r="F12" s="1929">
        <f t="shared" si="3"/>
        <v>393</v>
      </c>
      <c r="G12" s="1930">
        <f t="shared" si="4"/>
        <v>5.5</v>
      </c>
      <c r="H12" s="1911">
        <f t="shared" si="5"/>
        <v>409</v>
      </c>
      <c r="I12" s="1917">
        <f t="shared" si="6"/>
        <v>5.4</v>
      </c>
      <c r="J12" s="1929">
        <f t="shared" si="7"/>
        <v>406</v>
      </c>
      <c r="K12" s="1930">
        <f t="shared" si="8"/>
        <v>5.5</v>
      </c>
      <c r="L12" s="1911">
        <f t="shared" si="9"/>
        <v>429</v>
      </c>
      <c r="M12" s="1917">
        <f t="shared" si="10"/>
        <v>5.6000000000000005</v>
      </c>
      <c r="N12" s="1929">
        <f t="shared" si="11"/>
        <v>390</v>
      </c>
      <c r="O12" s="1930">
        <f t="shared" si="12"/>
        <v>5.5</v>
      </c>
      <c r="P12" s="1911">
        <f t="shared" si="13"/>
        <v>374</v>
      </c>
      <c r="Q12" s="1917">
        <f t="shared" si="14"/>
        <v>5.3</v>
      </c>
      <c r="R12" s="1929">
        <f t="shared" si="15"/>
        <v>357</v>
      </c>
      <c r="S12" s="1930">
        <f t="shared" si="16"/>
        <v>5.0999999999999996</v>
      </c>
      <c r="T12" s="1911">
        <f t="shared" si="17"/>
        <v>420</v>
      </c>
      <c r="U12" s="1917">
        <f t="shared" si="18"/>
        <v>5.3</v>
      </c>
      <c r="V12" s="1929">
        <f t="shared" si="19"/>
        <v>431</v>
      </c>
      <c r="W12" s="1930">
        <f t="shared" si="20"/>
        <v>5.7</v>
      </c>
      <c r="X12" s="1911">
        <f t="shared" si="21"/>
        <v>460</v>
      </c>
      <c r="Y12" s="1917">
        <f t="shared" si="22"/>
        <v>5.7</v>
      </c>
      <c r="Z12" s="1934">
        <f t="shared" si="22"/>
        <v>1.9605484103535353</v>
      </c>
      <c r="AA12" s="1908">
        <f t="shared" si="22"/>
        <v>4.0000000000000036E-2</v>
      </c>
      <c r="AB12" s="809"/>
      <c r="AC12" s="810"/>
      <c r="AD12" s="2017" t="s">
        <v>1091</v>
      </c>
      <c r="AE12" s="824"/>
      <c r="AF12" s="824"/>
      <c r="AG12" s="2078">
        <v>708948</v>
      </c>
      <c r="AH12" s="820">
        <f t="shared" si="23"/>
        <v>9.9</v>
      </c>
      <c r="AI12" s="2078">
        <v>723636</v>
      </c>
      <c r="AJ12" s="820">
        <f t="shared" si="24"/>
        <v>10</v>
      </c>
      <c r="AK12" s="2078">
        <v>810833</v>
      </c>
      <c r="AL12" s="820">
        <f t="shared" si="25"/>
        <v>10.8</v>
      </c>
      <c r="AM12" s="2078">
        <v>831067</v>
      </c>
      <c r="AN12" s="820">
        <f t="shared" si="26"/>
        <v>11.3</v>
      </c>
      <c r="AO12" s="2078">
        <v>917899</v>
      </c>
      <c r="AP12" s="820">
        <f t="shared" si="27"/>
        <v>12</v>
      </c>
      <c r="AQ12" s="2078">
        <v>929350</v>
      </c>
      <c r="AR12" s="820">
        <f t="shared" si="28"/>
        <v>13.100000000000001</v>
      </c>
      <c r="AS12" s="2078">
        <v>891535</v>
      </c>
      <c r="AT12" s="820">
        <f t="shared" si="29"/>
        <v>12.7</v>
      </c>
      <c r="AU12" s="2078">
        <v>809729</v>
      </c>
      <c r="AV12" s="820">
        <f t="shared" si="33"/>
        <v>11.700000000000001</v>
      </c>
      <c r="AW12" s="2078">
        <v>1025038</v>
      </c>
      <c r="AX12" s="820">
        <f t="shared" si="30"/>
        <v>12.9</v>
      </c>
      <c r="AY12" s="2078">
        <v>893705</v>
      </c>
      <c r="AZ12" s="820">
        <f t="shared" si="31"/>
        <v>11.899999999999999</v>
      </c>
      <c r="BA12" s="826">
        <v>990202</v>
      </c>
      <c r="BB12" s="820">
        <f t="shared" si="32"/>
        <v>12.4</v>
      </c>
      <c r="BC12" s="827">
        <f>((BA12/AG12)^(1/10)-1)*100</f>
        <v>3.3977150998083294</v>
      </c>
      <c r="BD12" s="823">
        <f t="shared" ref="BD12:BD17" si="34">(BB12-AH12)/10</f>
        <v>0.25</v>
      </c>
    </row>
    <row r="13" spans="1:56" ht="27" customHeight="1">
      <c r="A13" s="779"/>
      <c r="B13" s="1988" t="s">
        <v>1749</v>
      </c>
      <c r="C13" s="995" t="s">
        <v>644</v>
      </c>
      <c r="D13" s="1909">
        <f t="shared" si="1"/>
        <v>344</v>
      </c>
      <c r="E13" s="1916">
        <f t="shared" si="2"/>
        <v>4.8</v>
      </c>
      <c r="F13" s="1927">
        <f t="shared" si="3"/>
        <v>344</v>
      </c>
      <c r="G13" s="1928">
        <f t="shared" si="4"/>
        <v>4.8</v>
      </c>
      <c r="H13" s="1909">
        <f t="shared" si="5"/>
        <v>365</v>
      </c>
      <c r="I13" s="1916">
        <f t="shared" si="6"/>
        <v>4.9000000000000004</v>
      </c>
      <c r="J13" s="1927">
        <f t="shared" si="7"/>
        <v>374</v>
      </c>
      <c r="K13" s="1928">
        <f t="shared" si="8"/>
        <v>5.0999999999999996</v>
      </c>
      <c r="L13" s="1909">
        <f t="shared" si="9"/>
        <v>388</v>
      </c>
      <c r="M13" s="1916">
        <f t="shared" si="10"/>
        <v>5.0999999999999996</v>
      </c>
      <c r="N13" s="1927">
        <f t="shared" si="11"/>
        <v>375</v>
      </c>
      <c r="O13" s="1928">
        <f t="shared" si="12"/>
        <v>5.3</v>
      </c>
      <c r="P13" s="1909">
        <f t="shared" si="13"/>
        <v>369</v>
      </c>
      <c r="Q13" s="1916">
        <f t="shared" si="14"/>
        <v>5.3</v>
      </c>
      <c r="R13" s="1927">
        <f t="shared" si="15"/>
        <v>347</v>
      </c>
      <c r="S13" s="1928">
        <f t="shared" si="16"/>
        <v>5</v>
      </c>
      <c r="T13" s="1909">
        <f t="shared" si="17"/>
        <v>421</v>
      </c>
      <c r="U13" s="1916">
        <f t="shared" si="18"/>
        <v>5.3</v>
      </c>
      <c r="V13" s="1927">
        <f t="shared" si="19"/>
        <v>425</v>
      </c>
      <c r="W13" s="1928">
        <f t="shared" si="20"/>
        <v>5.7</v>
      </c>
      <c r="X13" s="1909">
        <f t="shared" si="21"/>
        <v>451</v>
      </c>
      <c r="Y13" s="1916">
        <f t="shared" ref="Y13:AA13" si="35">BB14</f>
        <v>5.6000000000000005</v>
      </c>
      <c r="Z13" s="1935">
        <f t="shared" si="35"/>
        <v>2.7273063638524331</v>
      </c>
      <c r="AA13" s="1910">
        <f t="shared" si="35"/>
        <v>8.0000000000000071E-2</v>
      </c>
      <c r="AB13" s="809"/>
      <c r="AC13" s="810"/>
      <c r="AD13" s="2025" t="s">
        <v>1093</v>
      </c>
      <c r="AE13" s="2024"/>
      <c r="AF13" s="2024"/>
      <c r="AG13" s="2076">
        <v>378967</v>
      </c>
      <c r="AH13" s="820">
        <f t="shared" si="23"/>
        <v>5.3</v>
      </c>
      <c r="AI13" s="2076">
        <v>393494</v>
      </c>
      <c r="AJ13" s="820">
        <f t="shared" si="24"/>
        <v>5.5</v>
      </c>
      <c r="AK13" s="2076">
        <v>409175</v>
      </c>
      <c r="AL13" s="820">
        <f t="shared" si="25"/>
        <v>5.4</v>
      </c>
      <c r="AM13" s="2076">
        <v>406619</v>
      </c>
      <c r="AN13" s="820">
        <f t="shared" si="26"/>
        <v>5.5</v>
      </c>
      <c r="AO13" s="2076">
        <v>429957</v>
      </c>
      <c r="AP13" s="820">
        <f t="shared" si="27"/>
        <v>5.6000000000000005</v>
      </c>
      <c r="AQ13" s="2076">
        <v>390383</v>
      </c>
      <c r="AR13" s="820">
        <f t="shared" si="28"/>
        <v>5.5</v>
      </c>
      <c r="AS13" s="2076">
        <v>374097</v>
      </c>
      <c r="AT13" s="820">
        <f t="shared" si="29"/>
        <v>5.3</v>
      </c>
      <c r="AU13" s="2076">
        <v>357719</v>
      </c>
      <c r="AV13" s="820">
        <f t="shared" si="33"/>
        <v>5.0999999999999996</v>
      </c>
      <c r="AW13" s="2076">
        <v>420790</v>
      </c>
      <c r="AX13" s="820">
        <f t="shared" si="30"/>
        <v>5.3</v>
      </c>
      <c r="AY13" s="2078">
        <v>431204</v>
      </c>
      <c r="AZ13" s="820">
        <f t="shared" si="31"/>
        <v>5.7</v>
      </c>
      <c r="BA13" s="821">
        <v>460175</v>
      </c>
      <c r="BB13" s="820">
        <f t="shared" si="32"/>
        <v>5.7</v>
      </c>
      <c r="BC13" s="827">
        <f t="shared" ref="BC13:BC16" si="36">((BA13/AG13)^(1/10)-1)*100</f>
        <v>1.9605484103535353</v>
      </c>
      <c r="BD13" s="823">
        <f t="shared" si="34"/>
        <v>4.0000000000000036E-2</v>
      </c>
    </row>
    <row r="14" spans="1:56" ht="27" customHeight="1">
      <c r="A14" s="779"/>
      <c r="B14" s="2080" t="s">
        <v>1754</v>
      </c>
      <c r="C14" s="2081" t="s">
        <v>646</v>
      </c>
      <c r="D14" s="2082">
        <f>INT(AG15/1000)</f>
        <v>207</v>
      </c>
      <c r="E14" s="2083">
        <f>AH15</f>
        <v>2.9000000000000004</v>
      </c>
      <c r="F14" s="2084">
        <f>INT(AI15/1000)</f>
        <v>220</v>
      </c>
      <c r="G14" s="2085">
        <f>AJ15</f>
        <v>3.1</v>
      </c>
      <c r="H14" s="2082">
        <f>INT(AK15/1000)</f>
        <v>232</v>
      </c>
      <c r="I14" s="2083">
        <f>AL15</f>
        <v>3.1</v>
      </c>
      <c r="J14" s="2084">
        <f>INT(AM15/1000)</f>
        <v>238</v>
      </c>
      <c r="K14" s="2085">
        <f>AN15</f>
        <v>3.2</v>
      </c>
      <c r="L14" s="2082">
        <f>INT(AO15/1000)</f>
        <v>246</v>
      </c>
      <c r="M14" s="2083">
        <f>AP15</f>
        <v>3.2</v>
      </c>
      <c r="N14" s="2084">
        <f>INT(AQ15/1000)</f>
        <v>222</v>
      </c>
      <c r="O14" s="2085">
        <f>AR15</f>
        <v>3.1</v>
      </c>
      <c r="P14" s="2082">
        <f>INT(AS15/1000)</f>
        <v>220</v>
      </c>
      <c r="Q14" s="2083">
        <f>AT15</f>
        <v>3.2</v>
      </c>
      <c r="R14" s="2084">
        <f>INT(AU15/1000)</f>
        <v>216</v>
      </c>
      <c r="S14" s="2085">
        <f>AV15</f>
        <v>3.1</v>
      </c>
      <c r="T14" s="2082">
        <f>INT(AW15/1000)</f>
        <v>268</v>
      </c>
      <c r="U14" s="2083">
        <f>AX15</f>
        <v>3.4000000000000004</v>
      </c>
      <c r="V14" s="2084">
        <f>INT(AY15/1000)</f>
        <v>229</v>
      </c>
      <c r="W14" s="2085">
        <f>AZ15</f>
        <v>3.1</v>
      </c>
      <c r="X14" s="2082">
        <f>INT(BA15/1000)</f>
        <v>254</v>
      </c>
      <c r="Y14" s="2083">
        <f t="shared" ref="Y14:AA17" si="37">BB15</f>
        <v>3.2</v>
      </c>
      <c r="Z14" s="2086">
        <f t="shared" si="37"/>
        <v>2.0357191822974796</v>
      </c>
      <c r="AA14" s="2087">
        <f t="shared" si="37"/>
        <v>2.9999999999999982E-2</v>
      </c>
      <c r="AB14" s="809"/>
      <c r="AC14" s="810"/>
      <c r="AD14" s="2025" t="s">
        <v>1094</v>
      </c>
      <c r="AE14" s="2024"/>
      <c r="AF14" s="2024"/>
      <c r="AG14" s="2076">
        <v>344857</v>
      </c>
      <c r="AH14" s="820">
        <f t="shared" si="23"/>
        <v>4.8</v>
      </c>
      <c r="AI14" s="2076">
        <v>344077</v>
      </c>
      <c r="AJ14" s="820">
        <f t="shared" si="24"/>
        <v>4.8</v>
      </c>
      <c r="AK14" s="2076">
        <v>365455</v>
      </c>
      <c r="AL14" s="820">
        <f t="shared" si="25"/>
        <v>4.9000000000000004</v>
      </c>
      <c r="AM14" s="2076">
        <v>374338</v>
      </c>
      <c r="AN14" s="820">
        <f t="shared" si="26"/>
        <v>5.0999999999999996</v>
      </c>
      <c r="AO14" s="2076">
        <v>388567</v>
      </c>
      <c r="AP14" s="820">
        <f t="shared" si="27"/>
        <v>5.0999999999999996</v>
      </c>
      <c r="AQ14" s="2076">
        <v>375709</v>
      </c>
      <c r="AR14" s="820">
        <f t="shared" si="28"/>
        <v>5.3</v>
      </c>
      <c r="AS14" s="2076">
        <v>369344</v>
      </c>
      <c r="AT14" s="820">
        <f t="shared" si="29"/>
        <v>5.3</v>
      </c>
      <c r="AU14" s="2076">
        <v>347001</v>
      </c>
      <c r="AV14" s="820">
        <f t="shared" si="33"/>
        <v>5</v>
      </c>
      <c r="AW14" s="2076">
        <v>421270</v>
      </c>
      <c r="AX14" s="820">
        <f t="shared" si="30"/>
        <v>5.3</v>
      </c>
      <c r="AY14" s="2078">
        <v>425752</v>
      </c>
      <c r="AZ14" s="820">
        <f t="shared" si="31"/>
        <v>5.7</v>
      </c>
      <c r="BA14" s="821">
        <v>451334</v>
      </c>
      <c r="BB14" s="820">
        <f t="shared" si="32"/>
        <v>5.6000000000000005</v>
      </c>
      <c r="BC14" s="827">
        <f t="shared" si="36"/>
        <v>2.7273063638524331</v>
      </c>
      <c r="BD14" s="823">
        <f t="shared" si="34"/>
        <v>8.0000000000000071E-2</v>
      </c>
    </row>
    <row r="15" spans="1:56" ht="27" customHeight="1">
      <c r="A15" s="779"/>
      <c r="B15" s="2088" t="s">
        <v>1518</v>
      </c>
      <c r="C15" s="2089" t="s">
        <v>645</v>
      </c>
      <c r="D15" s="2090">
        <f>INT(AG16/1000)</f>
        <v>115</v>
      </c>
      <c r="E15" s="2091">
        <f>AH16</f>
        <v>1.6</v>
      </c>
      <c r="F15" s="2092">
        <f>INT(AI16/1000)</f>
        <v>128</v>
      </c>
      <c r="G15" s="2093">
        <f>AJ16</f>
        <v>1.7999999999999998</v>
      </c>
      <c r="H15" s="2090">
        <f>INT(AK16/1000)</f>
        <v>144</v>
      </c>
      <c r="I15" s="2091">
        <f>AL16</f>
        <v>1.9</v>
      </c>
      <c r="J15" s="2092">
        <f>INT(AM16/1000)</f>
        <v>167</v>
      </c>
      <c r="K15" s="2093">
        <f>AN16</f>
        <v>2.2999999999999998</v>
      </c>
      <c r="L15" s="2090">
        <f>INT(AO16/1000)</f>
        <v>214</v>
      </c>
      <c r="M15" s="2091">
        <f>AP16</f>
        <v>2.8000000000000003</v>
      </c>
      <c r="N15" s="2092">
        <f>INT(AQ16/1000)</f>
        <v>348</v>
      </c>
      <c r="O15" s="2093">
        <f>AR16</f>
        <v>4.9000000000000004</v>
      </c>
      <c r="P15" s="2090">
        <f>INT(AS16/1000)</f>
        <v>355</v>
      </c>
      <c r="Q15" s="2091">
        <f>AT16</f>
        <v>5.0999999999999996</v>
      </c>
      <c r="R15" s="2092">
        <f>INT(AU16/1000)</f>
        <v>402</v>
      </c>
      <c r="S15" s="2093">
        <f>AV16</f>
        <v>5.8000000000000007</v>
      </c>
      <c r="T15" s="2090">
        <f>INT(AW16/1000)</f>
        <v>429</v>
      </c>
      <c r="U15" s="2091">
        <f>AX16</f>
        <v>5.4</v>
      </c>
      <c r="V15" s="2092">
        <f>INT(AY16/1000)</f>
        <v>298</v>
      </c>
      <c r="W15" s="2093">
        <f>AZ16</f>
        <v>4</v>
      </c>
      <c r="X15" s="2090">
        <f>INT(BA16/1000)</f>
        <v>243</v>
      </c>
      <c r="Y15" s="2091">
        <f t="shared" si="37"/>
        <v>3</v>
      </c>
      <c r="Z15" s="2094">
        <f t="shared" si="37"/>
        <v>7.7162265085000348</v>
      </c>
      <c r="AA15" s="2095">
        <f t="shared" si="37"/>
        <v>0.13999999999999999</v>
      </c>
      <c r="AB15" s="809"/>
      <c r="AC15" s="810"/>
      <c r="AD15" s="2025" t="s">
        <v>1095</v>
      </c>
      <c r="AE15" s="2024"/>
      <c r="AF15" s="2024"/>
      <c r="AG15" s="2076">
        <v>207968</v>
      </c>
      <c r="AH15" s="820">
        <f t="shared" si="23"/>
        <v>2.9000000000000004</v>
      </c>
      <c r="AI15" s="2076">
        <v>220859</v>
      </c>
      <c r="AJ15" s="820">
        <f t="shared" si="24"/>
        <v>3.1</v>
      </c>
      <c r="AK15" s="2076">
        <v>232754</v>
      </c>
      <c r="AL15" s="820">
        <f t="shared" si="25"/>
        <v>3.1</v>
      </c>
      <c r="AM15" s="2076">
        <v>238709</v>
      </c>
      <c r="AN15" s="820">
        <f t="shared" si="26"/>
        <v>3.2</v>
      </c>
      <c r="AO15" s="2076">
        <v>246957</v>
      </c>
      <c r="AP15" s="820">
        <f t="shared" si="27"/>
        <v>3.2</v>
      </c>
      <c r="AQ15" s="2076">
        <v>222642</v>
      </c>
      <c r="AR15" s="820">
        <f t="shared" si="28"/>
        <v>3.1</v>
      </c>
      <c r="AS15" s="2076">
        <v>220760</v>
      </c>
      <c r="AT15" s="820">
        <f t="shared" si="29"/>
        <v>3.2</v>
      </c>
      <c r="AU15" s="2076">
        <v>216461</v>
      </c>
      <c r="AV15" s="820">
        <f t="shared" si="33"/>
        <v>3.1</v>
      </c>
      <c r="AW15" s="2076">
        <v>268989</v>
      </c>
      <c r="AX15" s="820">
        <f t="shared" si="30"/>
        <v>3.4000000000000004</v>
      </c>
      <c r="AY15" s="2078">
        <v>229623</v>
      </c>
      <c r="AZ15" s="820">
        <f t="shared" si="31"/>
        <v>3.1</v>
      </c>
      <c r="BA15" s="821">
        <v>254401</v>
      </c>
      <c r="BB15" s="820">
        <f t="shared" si="32"/>
        <v>3.2</v>
      </c>
      <c r="BC15" s="822">
        <f>((BA15/AG15)^(1/10)-1)*100</f>
        <v>2.0357191822974796</v>
      </c>
      <c r="BD15" s="823">
        <f>(BB15-AH15)/10</f>
        <v>2.9999999999999982E-2</v>
      </c>
    </row>
    <row r="16" spans="1:56" ht="27" customHeight="1">
      <c r="A16" s="779"/>
      <c r="B16" s="996" t="s">
        <v>647</v>
      </c>
      <c r="C16" s="677" t="s">
        <v>648</v>
      </c>
      <c r="D16" s="1911">
        <f>INT(AG17/1000)</f>
        <v>2443</v>
      </c>
      <c r="E16" s="1917">
        <f>AH17</f>
        <v>34.000000000000014</v>
      </c>
      <c r="F16" s="1929">
        <f>INT(AI17/1000)</f>
        <v>2420</v>
      </c>
      <c r="G16" s="1930">
        <f>AJ17</f>
        <v>33.400000000000006</v>
      </c>
      <c r="H16" s="1911">
        <f>INT(AK17/1000)</f>
        <v>2481</v>
      </c>
      <c r="I16" s="1917">
        <f>AL17</f>
        <v>33</v>
      </c>
      <c r="J16" s="1929">
        <f>INT(AM17/1000)</f>
        <v>2444</v>
      </c>
      <c r="K16" s="1930">
        <f>AN17</f>
        <v>33.200000000000003</v>
      </c>
      <c r="L16" s="1911">
        <f>INT(AO17/1000)</f>
        <v>2465</v>
      </c>
      <c r="M16" s="1917">
        <f>AP17</f>
        <v>32.299999999999997</v>
      </c>
      <c r="N16" s="1929">
        <f>INT(AQ17/1000)</f>
        <v>2159</v>
      </c>
      <c r="O16" s="1930">
        <f>AR17</f>
        <v>30.399999999999991</v>
      </c>
      <c r="P16" s="1929">
        <f>INT(AS17/1000)</f>
        <v>2059</v>
      </c>
      <c r="Q16" s="1917">
        <f>AT17</f>
        <v>29.300000000000011</v>
      </c>
      <c r="R16" s="1929">
        <f>INT(AU17/1000)</f>
        <v>1982</v>
      </c>
      <c r="S16" s="1930">
        <f>AV17</f>
        <v>28.5</v>
      </c>
      <c r="T16" s="1911">
        <f>INT(AW17/1000)</f>
        <v>2242</v>
      </c>
      <c r="U16" s="1917">
        <f>AX17</f>
        <v>28.099999999999994</v>
      </c>
      <c r="V16" s="1929">
        <f>INT(AY17/1000)</f>
        <v>2118</v>
      </c>
      <c r="W16" s="1930">
        <f>AZ17</f>
        <v>28.200000000000003</v>
      </c>
      <c r="X16" s="1911">
        <f>INT(BA17/1000)</f>
        <v>2153</v>
      </c>
      <c r="Y16" s="1917">
        <f t="shared" si="37"/>
        <v>26.899999999999991</v>
      </c>
      <c r="Z16" s="1934">
        <f t="shared" si="37"/>
        <v>-1.2537240075006117</v>
      </c>
      <c r="AA16" s="1908">
        <f t="shared" si="37"/>
        <v>-0.7100000000000023</v>
      </c>
      <c r="AB16" s="809"/>
      <c r="AC16" s="810"/>
      <c r="AD16" s="2017" t="s">
        <v>1092</v>
      </c>
      <c r="AE16" s="824"/>
      <c r="AF16" s="824"/>
      <c r="AG16" s="2076">
        <v>115793</v>
      </c>
      <c r="AH16" s="828">
        <f t="shared" si="23"/>
        <v>1.6</v>
      </c>
      <c r="AI16" s="2076">
        <v>128466</v>
      </c>
      <c r="AJ16" s="828">
        <f t="shared" si="24"/>
        <v>1.7999999999999998</v>
      </c>
      <c r="AK16" s="2076">
        <v>144620</v>
      </c>
      <c r="AL16" s="828">
        <f t="shared" si="25"/>
        <v>1.9</v>
      </c>
      <c r="AM16" s="2076">
        <v>167938</v>
      </c>
      <c r="AN16" s="828">
        <f t="shared" si="26"/>
        <v>2.2999999999999998</v>
      </c>
      <c r="AO16" s="2076">
        <v>214761</v>
      </c>
      <c r="AP16" s="828">
        <f t="shared" si="27"/>
        <v>2.8000000000000003</v>
      </c>
      <c r="AQ16" s="2076">
        <v>348361</v>
      </c>
      <c r="AR16" s="828">
        <f t="shared" si="28"/>
        <v>4.9000000000000004</v>
      </c>
      <c r="AS16" s="2076">
        <v>355633</v>
      </c>
      <c r="AT16" s="828">
        <f t="shared" si="29"/>
        <v>5.0999999999999996</v>
      </c>
      <c r="AU16" s="2076">
        <v>402233</v>
      </c>
      <c r="AV16" s="828">
        <f t="shared" si="33"/>
        <v>5.8000000000000007</v>
      </c>
      <c r="AW16" s="2076">
        <v>429163</v>
      </c>
      <c r="AX16" s="828">
        <f t="shared" si="30"/>
        <v>5.4</v>
      </c>
      <c r="AY16" s="2078">
        <v>298650</v>
      </c>
      <c r="AZ16" s="828">
        <f t="shared" si="31"/>
        <v>4</v>
      </c>
      <c r="BA16" s="826">
        <v>243497</v>
      </c>
      <c r="BB16" s="828">
        <f t="shared" si="32"/>
        <v>3</v>
      </c>
      <c r="BC16" s="827">
        <f t="shared" si="36"/>
        <v>7.7162265085000348</v>
      </c>
      <c r="BD16" s="823">
        <f t="shared" si="34"/>
        <v>0.13999999999999999</v>
      </c>
    </row>
    <row r="17" spans="1:66" ht="27" customHeight="1">
      <c r="A17" s="779"/>
      <c r="B17" s="997" t="s">
        <v>699</v>
      </c>
      <c r="C17" s="998" t="s">
        <v>31</v>
      </c>
      <c r="D17" s="1912">
        <f>INT(AG18/1000)</f>
        <v>7186</v>
      </c>
      <c r="E17" s="1918">
        <f>AH18</f>
        <v>100</v>
      </c>
      <c r="F17" s="1931">
        <f>INT(AI18/1000)</f>
        <v>7215</v>
      </c>
      <c r="G17" s="1932">
        <f>AJ18</f>
        <v>100</v>
      </c>
      <c r="H17" s="1912">
        <f>INT(AK18/1000)</f>
        <v>7523</v>
      </c>
      <c r="I17" s="1918">
        <f>AL18</f>
        <v>100</v>
      </c>
      <c r="J17" s="1931">
        <f>INT(AM18/1000)</f>
        <v>7362</v>
      </c>
      <c r="K17" s="1932">
        <f>AN18</f>
        <v>100</v>
      </c>
      <c r="L17" s="1912">
        <f>INT(AO18/1000)</f>
        <v>7645</v>
      </c>
      <c r="M17" s="1918">
        <f>AP18</f>
        <v>100</v>
      </c>
      <c r="N17" s="1931">
        <f>INT(AQ18/1000)</f>
        <v>7105</v>
      </c>
      <c r="O17" s="1932">
        <f>AR18</f>
        <v>100</v>
      </c>
      <c r="P17" s="1912">
        <f>INT(AS18/1000)</f>
        <v>7007</v>
      </c>
      <c r="Q17" s="1918">
        <f>AT18</f>
        <v>100</v>
      </c>
      <c r="R17" s="1931">
        <f>INT(AU18/1000)</f>
        <v>6949</v>
      </c>
      <c r="S17" s="1932">
        <f>AV18</f>
        <v>100</v>
      </c>
      <c r="T17" s="1912">
        <f>INT(AW18/1000)</f>
        <v>7963</v>
      </c>
      <c r="U17" s="1918">
        <f>AX18</f>
        <v>100</v>
      </c>
      <c r="V17" s="1931">
        <f>INT(AY18/1000)</f>
        <v>7510</v>
      </c>
      <c r="W17" s="1932">
        <f>AZ18</f>
        <v>100</v>
      </c>
      <c r="X17" s="1912">
        <f>INT(BA18/1000)</f>
        <v>8017</v>
      </c>
      <c r="Y17" s="1918">
        <f t="shared" si="37"/>
        <v>100</v>
      </c>
      <c r="Z17" s="1936">
        <f t="shared" si="37"/>
        <v>1.0995855810555843</v>
      </c>
      <c r="AA17" s="1913" t="str">
        <f t="shared" si="37"/>
        <v>-</v>
      </c>
      <c r="AB17" s="809"/>
      <c r="AC17" s="810"/>
      <c r="AD17" s="2025" t="s">
        <v>570</v>
      </c>
      <c r="AE17" s="2026"/>
      <c r="AF17" s="2026"/>
      <c r="AG17" s="819">
        <f t="shared" ref="AG17:BB17" si="38">AG18-SUM(AG10:AG16)</f>
        <v>2443159</v>
      </c>
      <c r="AH17" s="820">
        <f t="shared" si="38"/>
        <v>34.000000000000014</v>
      </c>
      <c r="AI17" s="819">
        <f t="shared" si="38"/>
        <v>2420135</v>
      </c>
      <c r="AJ17" s="820">
        <f t="shared" si="38"/>
        <v>33.400000000000006</v>
      </c>
      <c r="AK17" s="819">
        <f t="shared" si="38"/>
        <v>2481978</v>
      </c>
      <c r="AL17" s="820">
        <f t="shared" si="38"/>
        <v>33</v>
      </c>
      <c r="AM17" s="819">
        <f t="shared" si="38"/>
        <v>2444027</v>
      </c>
      <c r="AN17" s="820">
        <f t="shared" si="38"/>
        <v>33.200000000000003</v>
      </c>
      <c r="AO17" s="819">
        <f t="shared" si="38"/>
        <v>2465730</v>
      </c>
      <c r="AP17" s="820">
        <f t="shared" si="38"/>
        <v>32.299999999999997</v>
      </c>
      <c r="AQ17" s="819">
        <f t="shared" si="38"/>
        <v>2159627</v>
      </c>
      <c r="AR17" s="820">
        <f t="shared" si="38"/>
        <v>30.399999999999991</v>
      </c>
      <c r="AS17" s="819">
        <f t="shared" si="38"/>
        <v>2059740</v>
      </c>
      <c r="AT17" s="820">
        <f t="shared" si="38"/>
        <v>29.300000000000011</v>
      </c>
      <c r="AU17" s="819">
        <f t="shared" si="38"/>
        <v>1982457</v>
      </c>
      <c r="AV17" s="820">
        <f t="shared" si="38"/>
        <v>28.5</v>
      </c>
      <c r="AW17" s="819">
        <f t="shared" si="38"/>
        <v>2242397</v>
      </c>
      <c r="AX17" s="820">
        <f t="shared" si="38"/>
        <v>28.099999999999994</v>
      </c>
      <c r="AY17" s="819">
        <f t="shared" si="38"/>
        <v>2118856</v>
      </c>
      <c r="AZ17" s="820">
        <f t="shared" si="38"/>
        <v>28.200000000000003</v>
      </c>
      <c r="BA17" s="819">
        <f t="shared" si="38"/>
        <v>2153570</v>
      </c>
      <c r="BB17" s="830">
        <f t="shared" si="38"/>
        <v>26.899999999999991</v>
      </c>
      <c r="BC17" s="822">
        <f>((BA17/AG17)^(1/10)-1)*100</f>
        <v>-1.2537240075006117</v>
      </c>
      <c r="BD17" s="823">
        <f t="shared" si="34"/>
        <v>-0.7100000000000023</v>
      </c>
    </row>
    <row r="18" spans="1:66" ht="13.5" thickBot="1">
      <c r="A18" s="779"/>
      <c r="B18" s="81" t="s">
        <v>1472</v>
      </c>
      <c r="C18" s="831" t="s">
        <v>32</v>
      </c>
      <c r="D18" s="779"/>
      <c r="E18" s="779"/>
      <c r="F18" s="779"/>
      <c r="G18" s="779"/>
      <c r="H18" s="779"/>
      <c r="I18" s="779"/>
      <c r="J18" s="779"/>
      <c r="K18" s="779"/>
      <c r="L18" s="779"/>
      <c r="M18" s="779"/>
      <c r="N18" s="779"/>
      <c r="O18" s="779"/>
      <c r="P18" s="779"/>
      <c r="Q18" s="779"/>
      <c r="R18" s="779"/>
      <c r="S18" s="779"/>
      <c r="T18" s="779"/>
      <c r="U18" s="779"/>
      <c r="V18" s="779"/>
      <c r="W18" s="779"/>
      <c r="X18" s="779"/>
      <c r="Y18" s="779"/>
      <c r="Z18" s="779"/>
      <c r="AA18" s="779"/>
      <c r="AB18" s="779"/>
      <c r="AD18" s="2023" t="s">
        <v>571</v>
      </c>
      <c r="AE18" s="2024"/>
      <c r="AF18" s="2024"/>
      <c r="AG18" s="819">
        <v>7186707</v>
      </c>
      <c r="AH18" s="820">
        <v>100</v>
      </c>
      <c r="AI18" s="819">
        <v>7215018</v>
      </c>
      <c r="AJ18" s="820">
        <v>100</v>
      </c>
      <c r="AK18" s="819">
        <v>7523547</v>
      </c>
      <c r="AL18" s="820">
        <v>100</v>
      </c>
      <c r="AM18" s="819">
        <v>7362930</v>
      </c>
      <c r="AN18" s="820">
        <v>100</v>
      </c>
      <c r="AO18" s="819">
        <v>7645565</v>
      </c>
      <c r="AP18" s="820">
        <v>100</v>
      </c>
      <c r="AQ18" s="819">
        <v>7105658</v>
      </c>
      <c r="AR18" s="820">
        <v>100</v>
      </c>
      <c r="AS18" s="819">
        <v>7007722</v>
      </c>
      <c r="AT18" s="820">
        <v>100</v>
      </c>
      <c r="AU18" s="819">
        <v>6949651</v>
      </c>
      <c r="AV18" s="820">
        <v>100</v>
      </c>
      <c r="AW18" s="819">
        <v>7963807</v>
      </c>
      <c r="AX18" s="820">
        <v>100</v>
      </c>
      <c r="AY18" s="819">
        <v>7510231</v>
      </c>
      <c r="AZ18" s="820">
        <v>100</v>
      </c>
      <c r="BA18" s="832">
        <v>8017218</v>
      </c>
      <c r="BB18" s="833">
        <v>100</v>
      </c>
      <c r="BC18" s="834">
        <f>((BA18/AG18)^(1/10)-1)*100</f>
        <v>1.0995855810555843</v>
      </c>
      <c r="BD18" s="835" t="s">
        <v>8</v>
      </c>
    </row>
    <row r="19" spans="1:66" ht="12.75" hidden="1" customHeight="1" outlineLevel="1">
      <c r="A19" s="779"/>
      <c r="B19" s="1712" t="s">
        <v>1190</v>
      </c>
      <c r="C19" s="668"/>
      <c r="D19" s="779"/>
      <c r="E19" s="779"/>
      <c r="F19" s="779"/>
      <c r="G19" s="779"/>
      <c r="H19" s="779"/>
      <c r="I19" s="779"/>
      <c r="J19" s="779"/>
      <c r="K19" s="779"/>
      <c r="L19" s="779"/>
      <c r="M19" s="779"/>
      <c r="N19" s="779"/>
      <c r="O19" s="779"/>
      <c r="P19" s="779"/>
      <c r="Q19" s="779"/>
      <c r="R19" s="779"/>
      <c r="S19" s="779"/>
      <c r="T19" s="779"/>
      <c r="U19" s="779"/>
      <c r="V19" s="779"/>
      <c r="W19" s="779"/>
      <c r="X19" s="779"/>
      <c r="Y19" s="779"/>
      <c r="Z19" s="779"/>
      <c r="AA19" s="779"/>
      <c r="AB19" s="779"/>
      <c r="AD19" s="1980"/>
      <c r="AE19" s="1980"/>
      <c r="AF19" s="1980"/>
      <c r="AG19" s="887"/>
      <c r="AH19" s="1981"/>
      <c r="AI19" s="887"/>
      <c r="AJ19" s="1981"/>
      <c r="AK19" s="887"/>
      <c r="AL19" s="1981"/>
      <c r="AM19" s="887"/>
      <c r="AN19" s="1981"/>
      <c r="AO19" s="887"/>
      <c r="AP19" s="1981"/>
      <c r="AQ19" s="887"/>
      <c r="AR19" s="1981"/>
      <c r="AS19" s="887"/>
      <c r="AT19" s="1981"/>
      <c r="AU19" s="887"/>
      <c r="AV19" s="1981"/>
      <c r="AW19" s="887"/>
      <c r="AX19" s="1981"/>
      <c r="AY19" s="887"/>
      <c r="AZ19" s="1981"/>
      <c r="BA19" s="887"/>
      <c r="BB19" s="1981"/>
      <c r="BC19" s="1982"/>
      <c r="BD19" s="1983"/>
    </row>
    <row r="20" spans="1:66" ht="12.75" hidden="1" customHeight="1" outlineLevel="1">
      <c r="A20" s="779"/>
      <c r="B20" s="1712" t="s">
        <v>1191</v>
      </c>
      <c r="C20" s="668"/>
      <c r="D20" s="779"/>
      <c r="E20" s="779"/>
      <c r="F20" s="779"/>
      <c r="G20" s="779"/>
      <c r="H20" s="779"/>
      <c r="I20" s="779"/>
      <c r="J20" s="779"/>
      <c r="K20" s="779"/>
      <c r="L20" s="779"/>
      <c r="M20" s="779"/>
      <c r="N20" s="779"/>
      <c r="O20" s="779"/>
      <c r="P20" s="779"/>
      <c r="Q20" s="779"/>
      <c r="R20" s="779"/>
      <c r="S20" s="779"/>
      <c r="T20" s="779"/>
      <c r="U20" s="779"/>
      <c r="V20" s="779"/>
      <c r="W20" s="779"/>
      <c r="X20" s="779"/>
      <c r="Y20" s="779"/>
      <c r="Z20" s="779"/>
      <c r="AA20" s="779"/>
      <c r="AB20" s="779"/>
      <c r="AD20" s="1980"/>
      <c r="AE20" s="1980"/>
      <c r="AF20" s="1980"/>
      <c r="AG20" s="887"/>
      <c r="AH20" s="1981"/>
      <c r="AI20" s="887"/>
      <c r="AJ20" s="1981"/>
      <c r="AK20" s="887"/>
      <c r="AL20" s="1981"/>
      <c r="AM20" s="887"/>
      <c r="AN20" s="1981"/>
      <c r="AO20" s="887"/>
      <c r="AP20" s="1981"/>
      <c r="AQ20" s="887"/>
      <c r="AR20" s="1981"/>
      <c r="AS20" s="887"/>
      <c r="AT20" s="1981"/>
      <c r="AU20" s="887"/>
      <c r="AV20" s="1981"/>
      <c r="AW20" s="887"/>
      <c r="AX20" s="1981"/>
      <c r="AY20" s="887"/>
      <c r="AZ20" s="1981"/>
      <c r="BA20" s="887"/>
      <c r="BB20" s="1981"/>
      <c r="BC20" s="1982"/>
      <c r="BD20" s="1983"/>
    </row>
    <row r="21" spans="1:66" collapsed="1">
      <c r="A21" s="779"/>
      <c r="B21" s="836"/>
      <c r="C21" s="668"/>
      <c r="D21" s="779"/>
      <c r="E21" s="779"/>
      <c r="F21" s="779"/>
      <c r="G21" s="779"/>
      <c r="H21" s="779"/>
      <c r="I21" s="779"/>
      <c r="J21" s="779"/>
      <c r="K21" s="779"/>
      <c r="L21" s="779"/>
      <c r="M21" s="779"/>
      <c r="N21" s="779"/>
      <c r="O21" s="779"/>
      <c r="P21" s="779"/>
      <c r="Q21" s="779"/>
      <c r="R21" s="779"/>
      <c r="S21" s="779"/>
      <c r="T21" s="779"/>
      <c r="U21" s="779"/>
      <c r="V21" s="779"/>
      <c r="W21" s="779"/>
      <c r="X21" s="779"/>
      <c r="Y21" s="779"/>
      <c r="Z21" s="779"/>
      <c r="AA21" s="779"/>
      <c r="AB21" s="779"/>
      <c r="AD21" s="1980"/>
      <c r="AE21" s="1980"/>
      <c r="AF21" s="1980"/>
      <c r="AG21" s="887"/>
      <c r="AH21" s="1981"/>
      <c r="AI21" s="887"/>
      <c r="AJ21" s="1981"/>
      <c r="AK21" s="887"/>
      <c r="AL21" s="1981"/>
      <c r="AM21" s="887"/>
      <c r="AN21" s="1981"/>
      <c r="AO21" s="887"/>
      <c r="AP21" s="1981"/>
      <c r="AQ21" s="887"/>
      <c r="AR21" s="1981"/>
      <c r="AS21" s="887"/>
      <c r="AT21" s="1981"/>
      <c r="AU21" s="887"/>
      <c r="AV21" s="1981"/>
      <c r="AW21" s="887"/>
      <c r="AX21" s="1981"/>
      <c r="AY21" s="887"/>
      <c r="AZ21" s="1981"/>
      <c r="BA21" s="887"/>
      <c r="BB21" s="1981"/>
      <c r="BC21" s="1982"/>
      <c r="BD21" s="1983"/>
    </row>
    <row r="22" spans="1:66" ht="12.75" hidden="1" customHeight="1" outlineLevel="1">
      <c r="A22" s="779"/>
      <c r="B22" s="836" t="s">
        <v>428</v>
      </c>
      <c r="C22" s="779"/>
      <c r="D22" s="779"/>
      <c r="E22" s="779"/>
      <c r="F22" s="779"/>
      <c r="G22" s="779"/>
      <c r="H22" s="779"/>
      <c r="I22" s="779"/>
      <c r="J22" s="779"/>
      <c r="K22" s="779"/>
      <c r="L22" s="779"/>
      <c r="M22" s="779"/>
      <c r="N22" s="779"/>
      <c r="O22" s="779"/>
      <c r="P22" s="779"/>
      <c r="Q22" s="779"/>
      <c r="R22" s="779"/>
      <c r="S22" s="779"/>
      <c r="T22" s="779"/>
      <c r="U22" s="779"/>
      <c r="V22" s="779"/>
      <c r="W22" s="779"/>
      <c r="X22" s="779"/>
      <c r="Y22" s="779"/>
      <c r="Z22" s="779"/>
      <c r="AA22" s="779"/>
      <c r="AB22" s="779"/>
      <c r="AD22" s="1980"/>
      <c r="AE22" s="1980"/>
      <c r="AF22" s="1980"/>
      <c r="AG22" s="887"/>
      <c r="AH22" s="1981"/>
      <c r="AI22" s="887"/>
      <c r="AJ22" s="1981"/>
      <c r="AK22" s="887"/>
      <c r="AL22" s="1981"/>
      <c r="AM22" s="887"/>
      <c r="AN22" s="1981"/>
      <c r="AO22" s="887"/>
      <c r="AP22" s="1981"/>
      <c r="AQ22" s="887"/>
      <c r="AR22" s="1981"/>
      <c r="AS22" s="887"/>
      <c r="AT22" s="1981"/>
      <c r="AU22" s="887"/>
      <c r="AV22" s="1981"/>
      <c r="AW22" s="887"/>
      <c r="AX22" s="1981"/>
      <c r="AY22" s="887"/>
      <c r="AZ22" s="1981"/>
      <c r="BA22" s="887"/>
      <c r="BB22" s="1981"/>
      <c r="BC22" s="1982"/>
      <c r="BD22" s="1983"/>
    </row>
    <row r="23" spans="1:66" ht="12.75" hidden="1" customHeight="1" outlineLevel="1">
      <c r="A23" s="779"/>
      <c r="B23" s="836" t="s">
        <v>1180</v>
      </c>
      <c r="C23" s="779"/>
      <c r="D23" s="779"/>
      <c r="E23" s="779"/>
      <c r="F23" s="779"/>
      <c r="G23" s="779"/>
      <c r="H23" s="779"/>
      <c r="I23" s="779"/>
      <c r="J23" s="779"/>
      <c r="K23" s="779"/>
      <c r="L23" s="779"/>
      <c r="M23" s="779"/>
      <c r="N23" s="779"/>
      <c r="O23" s="779"/>
      <c r="P23" s="779"/>
      <c r="Q23" s="779"/>
      <c r="R23" s="779"/>
      <c r="S23" s="779"/>
      <c r="T23" s="779"/>
      <c r="U23" s="779"/>
      <c r="V23" s="779"/>
      <c r="W23" s="779"/>
      <c r="X23" s="779"/>
      <c r="Y23" s="779"/>
      <c r="Z23" s="779"/>
      <c r="AA23" s="779"/>
      <c r="AB23" s="779"/>
      <c r="AD23" s="1980"/>
      <c r="AE23" s="1980"/>
      <c r="AF23" s="1980"/>
      <c r="AG23" s="887"/>
      <c r="AH23" s="1981"/>
      <c r="AI23" s="887"/>
      <c r="AJ23" s="1981"/>
      <c r="AK23" s="887"/>
      <c r="AL23" s="1981"/>
      <c r="AM23" s="887"/>
      <c r="AN23" s="1981"/>
      <c r="AO23" s="887"/>
      <c r="AP23" s="1981"/>
      <c r="AQ23" s="887"/>
      <c r="AR23" s="1981"/>
      <c r="AS23" s="887"/>
      <c r="AT23" s="1981"/>
      <c r="AU23" s="887"/>
      <c r="AV23" s="1981"/>
      <c r="AW23" s="887"/>
      <c r="AX23" s="1981"/>
      <c r="AY23" s="887"/>
      <c r="AZ23" s="1981"/>
      <c r="BA23" s="887"/>
      <c r="BB23" s="1981"/>
      <c r="BC23" s="1982"/>
      <c r="BD23" s="1983"/>
    </row>
    <row r="24" spans="1:66" ht="18" customHeight="1" collapsed="1">
      <c r="A24" s="779"/>
      <c r="B24" s="779"/>
      <c r="C24" s="779"/>
      <c r="D24" s="779"/>
      <c r="E24" s="779"/>
      <c r="F24" s="779"/>
      <c r="G24" s="779"/>
      <c r="H24" s="779"/>
      <c r="I24" s="779"/>
      <c r="J24" s="779"/>
      <c r="K24" s="779"/>
      <c r="L24" s="779"/>
      <c r="M24" s="779"/>
      <c r="N24" s="779"/>
      <c r="O24" s="779"/>
      <c r="P24" s="779"/>
      <c r="Q24" s="779"/>
      <c r="R24" s="779"/>
      <c r="S24" s="779"/>
      <c r="T24" s="779"/>
      <c r="U24" s="779"/>
      <c r="V24" s="779"/>
      <c r="W24" s="779"/>
      <c r="X24" s="779"/>
      <c r="Y24" s="779"/>
      <c r="Z24" s="779"/>
      <c r="AA24" s="779"/>
      <c r="AB24" s="779"/>
      <c r="AD24" s="2096" t="s">
        <v>1574</v>
      </c>
    </row>
    <row r="25" spans="1:66" ht="18" customHeight="1">
      <c r="A25" s="779"/>
      <c r="B25" s="779"/>
      <c r="C25" s="779"/>
      <c r="D25" s="779"/>
      <c r="E25" s="779"/>
      <c r="F25" s="779"/>
      <c r="G25" s="779"/>
      <c r="H25" s="779"/>
      <c r="I25" s="779"/>
      <c r="J25" s="779"/>
      <c r="K25" s="779"/>
      <c r="L25" s="779"/>
      <c r="M25" s="779"/>
      <c r="N25" s="779"/>
      <c r="O25" s="779"/>
      <c r="P25" s="779"/>
      <c r="Q25" s="779"/>
      <c r="R25" s="779"/>
      <c r="S25" s="779"/>
      <c r="T25" s="779"/>
      <c r="U25" s="779"/>
      <c r="V25" s="779"/>
      <c r="W25" s="779"/>
      <c r="X25" s="779"/>
      <c r="Y25" s="779"/>
      <c r="Z25" s="779"/>
      <c r="AA25" s="779"/>
      <c r="AB25" s="779"/>
      <c r="AD25" s="2027"/>
      <c r="AE25" s="2027">
        <v>1990</v>
      </c>
      <c r="AF25" s="2027">
        <v>1991</v>
      </c>
      <c r="AG25" s="2027">
        <v>1992</v>
      </c>
      <c r="AH25" s="2027">
        <v>1993</v>
      </c>
      <c r="AI25" s="2027">
        <v>1994</v>
      </c>
      <c r="AJ25" s="2027">
        <v>1995</v>
      </c>
      <c r="AK25" s="2027">
        <v>1996</v>
      </c>
      <c r="AL25" s="2027">
        <v>1997</v>
      </c>
      <c r="AM25" s="2027">
        <v>1998</v>
      </c>
      <c r="AN25" s="2027">
        <v>1999</v>
      </c>
      <c r="AO25" s="2027">
        <v>2000</v>
      </c>
      <c r="AP25" s="2027">
        <v>2001</v>
      </c>
      <c r="AQ25" s="2027">
        <v>2002</v>
      </c>
      <c r="AR25" s="2027">
        <v>2003</v>
      </c>
      <c r="AS25" s="2027">
        <v>2004</v>
      </c>
      <c r="AT25" s="2027">
        <v>2005</v>
      </c>
      <c r="AU25" s="2027">
        <v>2006</v>
      </c>
      <c r="AV25" s="2027">
        <v>2007</v>
      </c>
      <c r="AW25" s="2027">
        <v>2008</v>
      </c>
      <c r="AX25" s="2027">
        <v>2009</v>
      </c>
      <c r="AY25" s="2027">
        <v>2010</v>
      </c>
      <c r="AZ25" s="2027">
        <v>2011</v>
      </c>
      <c r="BA25" s="2027">
        <v>2012</v>
      </c>
      <c r="BB25" s="2027">
        <v>2013</v>
      </c>
      <c r="BC25" s="2027">
        <v>2014</v>
      </c>
      <c r="BD25" s="2027">
        <v>2015</v>
      </c>
      <c r="BE25" s="2027">
        <v>2016</v>
      </c>
      <c r="BF25" s="2027">
        <v>2017</v>
      </c>
      <c r="BG25" s="2027">
        <v>2018</v>
      </c>
      <c r="BH25" s="2027">
        <v>2019</v>
      </c>
      <c r="BI25" s="2027">
        <v>2020</v>
      </c>
      <c r="BJ25" s="2027">
        <v>2021</v>
      </c>
      <c r="BK25" s="2027">
        <v>2022</v>
      </c>
      <c r="BL25" s="2027">
        <v>2023</v>
      </c>
      <c r="BM25" s="2027">
        <v>2024</v>
      </c>
      <c r="BN25" s="2027">
        <v>2025</v>
      </c>
    </row>
    <row r="26" spans="1:66" ht="18" customHeight="1">
      <c r="A26" s="779"/>
      <c r="B26" s="779"/>
      <c r="C26" s="779"/>
      <c r="D26" s="779"/>
      <c r="E26" s="779"/>
      <c r="F26" s="779"/>
      <c r="G26" s="779"/>
      <c r="H26" s="779"/>
      <c r="I26" s="779"/>
      <c r="J26" s="779"/>
      <c r="K26" s="779"/>
      <c r="L26" s="779"/>
      <c r="M26" s="779"/>
      <c r="N26" s="779"/>
      <c r="O26" s="779"/>
      <c r="P26" s="779"/>
      <c r="Q26" s="779"/>
      <c r="R26" s="779"/>
      <c r="S26" s="779"/>
      <c r="T26" s="779"/>
      <c r="U26" s="779"/>
      <c r="V26" s="779"/>
      <c r="W26" s="779"/>
      <c r="X26" s="779"/>
      <c r="Y26" s="779"/>
      <c r="Z26" s="779"/>
      <c r="AA26" s="779"/>
      <c r="AB26" s="779"/>
      <c r="AD26" s="2028" t="s">
        <v>572</v>
      </c>
      <c r="AE26" s="2029">
        <f>ROUND(AE28/AE27,3)*100</f>
        <v>7.0000000000000009</v>
      </c>
      <c r="AF26" s="2029">
        <f>ROUND(AF28/AF27,3)*100</f>
        <v>7.6</v>
      </c>
      <c r="AG26" s="2029">
        <f>ROUND(AG28/AG27,3)*100</f>
        <v>7.8</v>
      </c>
      <c r="AH26" s="2029">
        <f>ROUND(AH28/AH27,3)*100</f>
        <v>8.2000000000000011</v>
      </c>
      <c r="AI26" s="2029">
        <f>ROUND(AI28/AI27,3)*100</f>
        <v>9.3000000000000007</v>
      </c>
      <c r="AJ26" s="2029">
        <f t="shared" ref="AJ26:BM26" si="39">ROUND(AJ28/AJ27,3)*100</f>
        <v>12.6</v>
      </c>
      <c r="AK26" s="2029">
        <f t="shared" si="39"/>
        <v>14.399999999999999</v>
      </c>
      <c r="AL26" s="2029">
        <f t="shared" si="39"/>
        <v>17.7</v>
      </c>
      <c r="AM26" s="2029">
        <f t="shared" si="39"/>
        <v>19.8</v>
      </c>
      <c r="AN26" s="2029">
        <f t="shared" si="39"/>
        <v>21.2</v>
      </c>
      <c r="AO26" s="2029">
        <f t="shared" si="39"/>
        <v>21.8</v>
      </c>
      <c r="AP26" s="2029">
        <f t="shared" si="39"/>
        <v>23</v>
      </c>
      <c r="AQ26" s="2029">
        <f t="shared" si="39"/>
        <v>25.3</v>
      </c>
      <c r="AR26" s="2029">
        <f t="shared" si="39"/>
        <v>26.8</v>
      </c>
      <c r="AS26" s="2029">
        <f t="shared" si="39"/>
        <v>30.099999999999998</v>
      </c>
      <c r="AT26" s="2029">
        <f t="shared" si="39"/>
        <v>32.300000000000004</v>
      </c>
      <c r="AU26" s="2029">
        <f t="shared" si="39"/>
        <v>33.4</v>
      </c>
      <c r="AV26" s="2029">
        <f t="shared" si="39"/>
        <v>34.1</v>
      </c>
      <c r="AW26" s="2029">
        <f t="shared" si="39"/>
        <v>34.699999999999996</v>
      </c>
      <c r="AX26" s="2029">
        <f t="shared" si="39"/>
        <v>33.800000000000004</v>
      </c>
      <c r="AY26" s="2029">
        <f t="shared" si="39"/>
        <v>33.800000000000004</v>
      </c>
      <c r="AZ26" s="2029">
        <f t="shared" si="39"/>
        <v>33</v>
      </c>
      <c r="BA26" s="2029">
        <f t="shared" si="39"/>
        <v>31.5</v>
      </c>
      <c r="BB26" s="2029">
        <f t="shared" si="39"/>
        <v>31.8</v>
      </c>
      <c r="BC26" s="2029">
        <f t="shared" si="39"/>
        <v>32.300000000000004</v>
      </c>
      <c r="BD26" s="2029">
        <f t="shared" si="39"/>
        <v>33</v>
      </c>
      <c r="BE26" s="2029">
        <f t="shared" si="39"/>
        <v>32.5</v>
      </c>
      <c r="BF26" s="2029">
        <f t="shared" si="39"/>
        <v>34.4</v>
      </c>
      <c r="BG26" s="2029">
        <f t="shared" si="39"/>
        <v>39.4</v>
      </c>
      <c r="BH26" s="2029">
        <f t="shared" si="39"/>
        <v>39</v>
      </c>
      <c r="BI26" s="2029">
        <f t="shared" si="39"/>
        <v>37.700000000000003</v>
      </c>
      <c r="BJ26" s="2029">
        <f t="shared" si="39"/>
        <v>39.5</v>
      </c>
      <c r="BK26" s="2029">
        <f t="shared" si="39"/>
        <v>40.799999999999997</v>
      </c>
      <c r="BL26" s="2029">
        <f t="shared" si="39"/>
        <v>39.6</v>
      </c>
      <c r="BM26" s="2029">
        <f t="shared" si="39"/>
        <v>41.4</v>
      </c>
      <c r="BN26" s="2029">
        <f t="shared" ref="BN26" si="40">ROUND(BN28/BN27,3)*100</f>
        <v>43.2</v>
      </c>
    </row>
    <row r="27" spans="1:66" ht="18" customHeight="1">
      <c r="A27" s="779"/>
      <c r="B27" s="779"/>
      <c r="C27" s="779"/>
      <c r="D27" s="779"/>
      <c r="E27" s="779"/>
      <c r="F27" s="779"/>
      <c r="G27" s="779"/>
      <c r="H27" s="779"/>
      <c r="I27" s="779"/>
      <c r="J27" s="779"/>
      <c r="K27" s="779"/>
      <c r="L27" s="779"/>
      <c r="M27" s="779"/>
      <c r="N27" s="779"/>
      <c r="O27" s="779"/>
      <c r="P27" s="779"/>
      <c r="Q27" s="779"/>
      <c r="R27" s="779"/>
      <c r="S27" s="779"/>
      <c r="T27" s="779"/>
      <c r="U27" s="779"/>
      <c r="V27" s="779"/>
      <c r="W27" s="779"/>
      <c r="X27" s="779"/>
      <c r="Y27" s="779"/>
      <c r="Z27" s="779"/>
      <c r="AA27" s="779"/>
      <c r="AB27" s="779"/>
      <c r="AD27" s="2030" t="s">
        <v>573</v>
      </c>
      <c r="AE27" s="2031">
        <v>2001628</v>
      </c>
      <c r="AF27" s="2031">
        <v>2328157</v>
      </c>
      <c r="AG27" s="2031">
        <v>2557761</v>
      </c>
      <c r="AH27" s="2031">
        <v>2905827</v>
      </c>
      <c r="AI27" s="2031">
        <v>3175286</v>
      </c>
      <c r="AJ27" s="2031">
        <v>3588878</v>
      </c>
      <c r="AK27" s="2031">
        <v>4030686</v>
      </c>
      <c r="AL27" s="2031">
        <v>4348957</v>
      </c>
      <c r="AM27" s="2032">
        <v>4695298</v>
      </c>
      <c r="AN27" s="2033">
        <v>5083305</v>
      </c>
      <c r="AO27" s="2033">
        <v>5387538</v>
      </c>
      <c r="AP27" s="2033">
        <v>5736518</v>
      </c>
      <c r="AQ27" s="2033">
        <v>6046439</v>
      </c>
      <c r="AR27" s="2033">
        <v>6246269</v>
      </c>
      <c r="AS27" s="2033">
        <v>6819240</v>
      </c>
      <c r="AT27" s="2033">
        <v>7982868</v>
      </c>
      <c r="AU27" s="2033">
        <v>8271877</v>
      </c>
      <c r="AV27" s="2033">
        <v>8419295</v>
      </c>
      <c r="AW27" s="2033">
        <v>8873346</v>
      </c>
      <c r="AX27" s="2033">
        <v>6938847</v>
      </c>
      <c r="AY27" s="2033">
        <v>6534520</v>
      </c>
      <c r="AZ27" s="2033">
        <v>6482580</v>
      </c>
      <c r="BA27" s="2033">
        <v>7210573</v>
      </c>
      <c r="BB27" s="2033">
        <v>7045036</v>
      </c>
      <c r="BC27" s="2033">
        <v>7277891</v>
      </c>
      <c r="BD27" s="2033">
        <v>7186707</v>
      </c>
      <c r="BE27" s="2032">
        <v>7215017</v>
      </c>
      <c r="BF27" s="2032">
        <v>7523547</v>
      </c>
      <c r="BG27" s="2032">
        <v>7362930</v>
      </c>
      <c r="BH27" s="2032">
        <v>7645565</v>
      </c>
      <c r="BI27" s="2032">
        <v>7105658</v>
      </c>
      <c r="BJ27" s="2032">
        <v>6935686</v>
      </c>
      <c r="BK27" s="2032">
        <v>6949651</v>
      </c>
      <c r="BL27" s="2032">
        <v>7963807</v>
      </c>
      <c r="BM27" s="2032">
        <v>7510231</v>
      </c>
      <c r="BN27" s="2032">
        <v>8017218</v>
      </c>
    </row>
    <row r="28" spans="1:66" ht="18" customHeight="1">
      <c r="A28" s="779"/>
      <c r="B28" s="779"/>
      <c r="C28" s="779"/>
      <c r="D28" s="779"/>
      <c r="E28" s="779"/>
      <c r="F28" s="779"/>
      <c r="G28" s="779"/>
      <c r="H28" s="779"/>
      <c r="I28" s="779"/>
      <c r="J28" s="779"/>
      <c r="K28" s="779"/>
      <c r="L28" s="779"/>
      <c r="M28" s="779"/>
      <c r="N28" s="779"/>
      <c r="O28" s="779"/>
      <c r="P28" s="779"/>
      <c r="Q28" s="779"/>
      <c r="R28" s="779"/>
      <c r="S28" s="779"/>
      <c r="T28" s="779"/>
      <c r="U28" s="779"/>
      <c r="V28" s="779"/>
      <c r="W28" s="779"/>
      <c r="X28" s="779"/>
      <c r="Y28" s="779"/>
      <c r="Z28" s="779"/>
      <c r="AA28" s="779"/>
      <c r="AB28" s="779"/>
      <c r="AD28" s="2028" t="s">
        <v>574</v>
      </c>
      <c r="AE28" s="2032">
        <v>140134</v>
      </c>
      <c r="AF28" s="2032">
        <v>177631</v>
      </c>
      <c r="AG28" s="2032">
        <v>200550</v>
      </c>
      <c r="AH28" s="2032">
        <v>237479</v>
      </c>
      <c r="AI28" s="2032">
        <v>296285</v>
      </c>
      <c r="AJ28" s="2032">
        <v>451919</v>
      </c>
      <c r="AK28" s="2032">
        <v>581197</v>
      </c>
      <c r="AL28" s="2032">
        <v>771305</v>
      </c>
      <c r="AM28" s="2032">
        <v>929361</v>
      </c>
      <c r="AN28" s="2033">
        <v>1078326</v>
      </c>
      <c r="AO28" s="2033">
        <v>1176575</v>
      </c>
      <c r="AP28" s="2033">
        <v>1318818</v>
      </c>
      <c r="AQ28" s="2033">
        <v>1530229</v>
      </c>
      <c r="AR28" s="2033">
        <v>1672650</v>
      </c>
      <c r="AS28" s="2033">
        <v>2053544</v>
      </c>
      <c r="AT28" s="2033">
        <v>2576402</v>
      </c>
      <c r="AU28" s="2033">
        <v>2761230</v>
      </c>
      <c r="AV28" s="2033">
        <v>2873940</v>
      </c>
      <c r="AW28" s="2033">
        <v>3080279</v>
      </c>
      <c r="AX28" s="2033">
        <v>2347010</v>
      </c>
      <c r="AY28" s="2033">
        <v>2209259</v>
      </c>
      <c r="AZ28" s="2033">
        <v>2137327</v>
      </c>
      <c r="BA28" s="2033">
        <v>2269834</v>
      </c>
      <c r="BB28" s="2033">
        <v>2238157</v>
      </c>
      <c r="BC28" s="2033">
        <v>2347862</v>
      </c>
      <c r="BD28" s="2033">
        <v>2374537</v>
      </c>
      <c r="BE28" s="2032">
        <v>2345803</v>
      </c>
      <c r="BF28" s="2032">
        <v>2586955</v>
      </c>
      <c r="BG28" s="2032">
        <v>2900232</v>
      </c>
      <c r="BH28" s="2032">
        <v>2981694</v>
      </c>
      <c r="BI28" s="2032">
        <v>2679586</v>
      </c>
      <c r="BJ28" s="2032">
        <v>2736613</v>
      </c>
      <c r="BK28" s="2032">
        <v>2834051</v>
      </c>
      <c r="BL28" s="2032">
        <v>3156160</v>
      </c>
      <c r="BM28" s="2032">
        <v>3112441</v>
      </c>
      <c r="BN28" s="2032">
        <v>3464039</v>
      </c>
    </row>
    <row r="29" spans="1:66" ht="18" customHeight="1">
      <c r="A29" s="779"/>
      <c r="B29" s="779"/>
      <c r="C29" s="779"/>
      <c r="D29" s="779"/>
      <c r="E29" s="779"/>
      <c r="F29" s="779"/>
      <c r="G29" s="779"/>
      <c r="H29" s="779"/>
      <c r="I29" s="779"/>
      <c r="J29" s="779"/>
      <c r="K29" s="779"/>
      <c r="L29" s="779"/>
      <c r="M29" s="779"/>
      <c r="N29" s="779"/>
      <c r="O29" s="779"/>
      <c r="P29" s="779"/>
      <c r="Q29" s="779"/>
      <c r="R29" s="779"/>
      <c r="S29" s="779"/>
      <c r="T29" s="779"/>
      <c r="U29" s="779"/>
      <c r="V29" s="779"/>
      <c r="W29" s="779"/>
      <c r="X29" s="779"/>
      <c r="Y29" s="779"/>
      <c r="Z29" s="779"/>
      <c r="AA29" s="779"/>
      <c r="AB29" s="779"/>
      <c r="AD29" s="2028" t="s">
        <v>575</v>
      </c>
      <c r="AE29" s="2034">
        <v>2001628</v>
      </c>
      <c r="AF29" s="2034">
        <v>2328157</v>
      </c>
      <c r="AG29" s="2034">
        <v>2557761</v>
      </c>
      <c r="AH29" s="2034">
        <v>2905827</v>
      </c>
      <c r="AI29" s="2034">
        <v>3175286</v>
      </c>
      <c r="AJ29" s="2034">
        <v>3588878</v>
      </c>
      <c r="AK29" s="2034">
        <v>4030686</v>
      </c>
      <c r="AL29" s="2034">
        <v>4348957</v>
      </c>
      <c r="AM29" s="2034">
        <v>4695298</v>
      </c>
      <c r="AN29" s="2034">
        <v>5083305</v>
      </c>
      <c r="AO29" s="2034">
        <v>5387538</v>
      </c>
      <c r="AP29" s="2034">
        <v>5736518</v>
      </c>
      <c r="AQ29" s="2034">
        <v>6046439</v>
      </c>
      <c r="AR29" s="2034">
        <v>6246269</v>
      </c>
      <c r="AS29" s="2034">
        <v>6819240</v>
      </c>
      <c r="AT29" s="2034">
        <v>7982868</v>
      </c>
      <c r="AU29" s="2034">
        <v>8271877</v>
      </c>
      <c r="AV29" s="2034">
        <v>8419295</v>
      </c>
      <c r="AW29" s="2034">
        <v>8873346</v>
      </c>
      <c r="AX29" s="2034">
        <v>6938847</v>
      </c>
      <c r="AY29" s="2034">
        <v>6534520</v>
      </c>
      <c r="AZ29" s="2034">
        <v>6482580</v>
      </c>
      <c r="BA29" s="2034">
        <v>7210573</v>
      </c>
      <c r="BB29" s="2034">
        <v>7045036</v>
      </c>
      <c r="BC29" s="2034">
        <v>7277891</v>
      </c>
      <c r="BD29" s="2034">
        <v>7186707</v>
      </c>
      <c r="BE29" s="2034">
        <v>7215017</v>
      </c>
      <c r="BF29" s="2034">
        <v>7523547</v>
      </c>
      <c r="BG29" s="2034">
        <v>7362930</v>
      </c>
      <c r="BH29" s="2034">
        <v>7645565</v>
      </c>
      <c r="BI29" s="2034">
        <v>7105658</v>
      </c>
      <c r="BJ29" s="2034">
        <v>6935686</v>
      </c>
      <c r="BK29" s="2034">
        <v>6949651</v>
      </c>
      <c r="BL29" s="2034">
        <v>7963807</v>
      </c>
      <c r="BM29" s="2034">
        <v>7510231</v>
      </c>
      <c r="BN29" s="2034">
        <v>8017218</v>
      </c>
    </row>
    <row r="30" spans="1:66" ht="18" customHeight="1">
      <c r="A30" s="779"/>
      <c r="B30" s="779"/>
      <c r="C30" s="779"/>
      <c r="D30" s="779"/>
      <c r="E30" s="779"/>
      <c r="F30" s="779"/>
      <c r="G30" s="779"/>
      <c r="H30" s="779"/>
      <c r="I30" s="779"/>
      <c r="J30" s="779"/>
      <c r="K30" s="779"/>
      <c r="L30" s="779"/>
      <c r="M30" s="779"/>
      <c r="N30" s="779"/>
      <c r="O30" s="779"/>
      <c r="P30" s="779"/>
      <c r="Q30" s="779"/>
      <c r="R30" s="779"/>
      <c r="S30" s="779"/>
      <c r="T30" s="779"/>
      <c r="U30" s="779"/>
      <c r="V30" s="779"/>
      <c r="W30" s="779"/>
      <c r="X30" s="779"/>
      <c r="Y30" s="779"/>
      <c r="Z30" s="779"/>
      <c r="AA30" s="779"/>
      <c r="AB30" s="779"/>
      <c r="AD30" s="2028" t="s">
        <v>576</v>
      </c>
      <c r="AE30" s="2034">
        <f>94597+46451</f>
        <v>141048</v>
      </c>
      <c r="AF30" s="2034">
        <f>104518+73113</f>
        <v>177631</v>
      </c>
      <c r="AG30" s="2034">
        <f>104650+95899</f>
        <v>200549</v>
      </c>
      <c r="AH30" s="2034">
        <f>112144+123178</f>
        <v>235322</v>
      </c>
      <c r="AI30" s="2034">
        <f>48549+110804+122285+16017</f>
        <v>297655</v>
      </c>
      <c r="AJ30" s="2034">
        <f>130531+113132+16395+57337+136013</f>
        <v>453408</v>
      </c>
      <c r="AK30" s="2034">
        <f>170542+3874+136152+37238+66077+146936</f>
        <v>560819</v>
      </c>
      <c r="AL30" s="2034">
        <f>227779+33873+169598+55681+62146+73313+149634</f>
        <v>772024</v>
      </c>
      <c r="AM30" s="2034">
        <f>31908+275533+7579+45807+205975+70355+71596+68450+153554</f>
        <v>930757</v>
      </c>
      <c r="AN30" s="2034">
        <f>39170+9261+304392+40476+50693+244087+79538+74961+68523+167225</f>
        <v>1078326</v>
      </c>
      <c r="AO30" s="2034">
        <f>41910+37084+47889+348606+45516+54115+253840+60636+58346+58380+170253</f>
        <v>1176575</v>
      </c>
      <c r="AP30" s="2034">
        <v>1318818</v>
      </c>
      <c r="AQ30" s="2034">
        <v>1530229</v>
      </c>
      <c r="AR30" s="2034">
        <v>1672650</v>
      </c>
      <c r="AS30" s="2034">
        <v>2053544</v>
      </c>
      <c r="AT30" s="2034">
        <v>2576402</v>
      </c>
      <c r="AU30" s="2034">
        <v>2761230</v>
      </c>
      <c r="AV30" s="2034">
        <v>2873940</v>
      </c>
      <c r="AW30" s="2034">
        <v>3080279</v>
      </c>
      <c r="AX30" s="2034">
        <v>2347010</v>
      </c>
      <c r="AY30" s="2034">
        <v>2209259</v>
      </c>
      <c r="AZ30" s="2034">
        <v>2137327</v>
      </c>
      <c r="BA30" s="2034">
        <v>2269834</v>
      </c>
      <c r="BB30" s="2034">
        <v>2238157</v>
      </c>
      <c r="BC30" s="2034">
        <v>2347862</v>
      </c>
      <c r="BD30" s="2034">
        <v>2374537</v>
      </c>
      <c r="BE30" s="2034">
        <v>2345803</v>
      </c>
      <c r="BF30" s="2034">
        <v>2586955</v>
      </c>
      <c r="BG30" s="2034">
        <v>2900232</v>
      </c>
      <c r="BH30" s="2034">
        <v>2981694</v>
      </c>
      <c r="BI30" s="2034">
        <v>2679586</v>
      </c>
      <c r="BJ30" s="2034">
        <v>2736613</v>
      </c>
      <c r="BK30" s="2034">
        <v>2834051</v>
      </c>
      <c r="BL30" s="2034">
        <v>3156160</v>
      </c>
      <c r="BM30" s="2034">
        <v>3112441</v>
      </c>
      <c r="BN30" s="2034">
        <v>3464039</v>
      </c>
    </row>
    <row r="31" spans="1:66" ht="18" customHeight="1">
      <c r="A31" s="779"/>
      <c r="B31" s="779"/>
      <c r="C31" s="779"/>
      <c r="D31" s="779"/>
      <c r="E31" s="779"/>
      <c r="F31" s="779"/>
      <c r="G31" s="779"/>
      <c r="H31" s="779"/>
      <c r="I31" s="779"/>
      <c r="J31" s="779"/>
      <c r="K31" s="779"/>
      <c r="L31" s="779"/>
      <c r="M31" s="779"/>
      <c r="N31" s="779"/>
      <c r="O31" s="779"/>
      <c r="P31" s="779"/>
      <c r="Q31" s="779"/>
      <c r="R31" s="779"/>
      <c r="S31" s="779"/>
      <c r="T31" s="779"/>
      <c r="U31" s="779"/>
      <c r="V31" s="779"/>
      <c r="W31" s="779"/>
      <c r="X31" s="779"/>
      <c r="Y31" s="779"/>
      <c r="Z31" s="779"/>
      <c r="AA31" s="779"/>
      <c r="AB31" s="779"/>
      <c r="AD31" s="839" t="s">
        <v>577</v>
      </c>
      <c r="AE31" s="840">
        <f>AE27-AE29</f>
        <v>0</v>
      </c>
      <c r="AF31" s="840">
        <f t="shared" ref="AF31:BH32" si="41">AF27-AF29</f>
        <v>0</v>
      </c>
      <c r="AG31" s="840">
        <f t="shared" si="41"/>
        <v>0</v>
      </c>
      <c r="AH31" s="840">
        <f t="shared" si="41"/>
        <v>0</v>
      </c>
      <c r="AI31" s="840">
        <f t="shared" si="41"/>
        <v>0</v>
      </c>
      <c r="AJ31" s="840">
        <f t="shared" si="41"/>
        <v>0</v>
      </c>
      <c r="AK31" s="840">
        <f t="shared" si="41"/>
        <v>0</v>
      </c>
      <c r="AL31" s="840">
        <f t="shared" si="41"/>
        <v>0</v>
      </c>
      <c r="AM31" s="840">
        <f t="shared" si="41"/>
        <v>0</v>
      </c>
      <c r="AN31" s="840">
        <f t="shared" si="41"/>
        <v>0</v>
      </c>
      <c r="AO31" s="840">
        <f t="shared" si="41"/>
        <v>0</v>
      </c>
      <c r="AP31" s="840">
        <f t="shared" si="41"/>
        <v>0</v>
      </c>
      <c r="AQ31" s="840">
        <f t="shared" si="41"/>
        <v>0</v>
      </c>
      <c r="AR31" s="840">
        <f t="shared" si="41"/>
        <v>0</v>
      </c>
      <c r="AS31" s="840">
        <f t="shared" si="41"/>
        <v>0</v>
      </c>
      <c r="AT31" s="840">
        <f t="shared" si="41"/>
        <v>0</v>
      </c>
      <c r="AU31" s="840">
        <f t="shared" si="41"/>
        <v>0</v>
      </c>
      <c r="AV31" s="840">
        <f t="shared" si="41"/>
        <v>0</v>
      </c>
      <c r="AW31" s="840">
        <f t="shared" si="41"/>
        <v>0</v>
      </c>
      <c r="AX31" s="840">
        <f t="shared" si="41"/>
        <v>0</v>
      </c>
      <c r="AY31" s="840">
        <f t="shared" si="41"/>
        <v>0</v>
      </c>
      <c r="AZ31" s="840">
        <f t="shared" si="41"/>
        <v>0</v>
      </c>
      <c r="BA31" s="840">
        <f t="shared" si="41"/>
        <v>0</v>
      </c>
      <c r="BB31" s="840">
        <f t="shared" si="41"/>
        <v>0</v>
      </c>
      <c r="BC31" s="840">
        <f t="shared" si="41"/>
        <v>0</v>
      </c>
      <c r="BD31" s="840">
        <f t="shared" si="41"/>
        <v>0</v>
      </c>
      <c r="BE31" s="840">
        <f t="shared" si="41"/>
        <v>0</v>
      </c>
      <c r="BF31" s="840">
        <f t="shared" si="41"/>
        <v>0</v>
      </c>
      <c r="BG31" s="840">
        <f t="shared" si="41"/>
        <v>0</v>
      </c>
      <c r="BH31" s="840">
        <f t="shared" si="41"/>
        <v>0</v>
      </c>
      <c r="BI31" s="840">
        <f t="shared" ref="BI31:BN31" si="42">BI27-BI29</f>
        <v>0</v>
      </c>
      <c r="BJ31" s="840">
        <f t="shared" si="42"/>
        <v>0</v>
      </c>
      <c r="BK31" s="840">
        <f t="shared" si="42"/>
        <v>0</v>
      </c>
      <c r="BL31" s="840">
        <f t="shared" si="42"/>
        <v>0</v>
      </c>
      <c r="BM31" s="840">
        <f t="shared" si="42"/>
        <v>0</v>
      </c>
      <c r="BN31" s="840">
        <f t="shared" si="42"/>
        <v>0</v>
      </c>
    </row>
    <row r="32" spans="1:66" ht="18" customHeight="1">
      <c r="A32" s="779"/>
      <c r="B32" s="779"/>
      <c r="C32" s="779"/>
      <c r="D32" s="779"/>
      <c r="E32" s="779"/>
      <c r="F32" s="779"/>
      <c r="G32" s="779"/>
      <c r="H32" s="779"/>
      <c r="I32" s="779"/>
      <c r="J32" s="779"/>
      <c r="K32" s="779"/>
      <c r="L32" s="779"/>
      <c r="M32" s="779"/>
      <c r="N32" s="779"/>
      <c r="O32" s="779"/>
      <c r="P32" s="779"/>
      <c r="Q32" s="779"/>
      <c r="R32" s="779"/>
      <c r="S32" s="779"/>
      <c r="T32" s="779"/>
      <c r="U32" s="779"/>
      <c r="V32" s="779"/>
      <c r="W32" s="779"/>
      <c r="X32" s="779"/>
      <c r="Y32" s="779"/>
      <c r="Z32" s="779"/>
      <c r="AA32" s="779"/>
      <c r="AB32" s="779"/>
      <c r="AD32" s="839" t="s">
        <v>578</v>
      </c>
      <c r="AE32" s="841">
        <f>AE28-AE30</f>
        <v>-914</v>
      </c>
      <c r="AF32" s="841">
        <f t="shared" si="41"/>
        <v>0</v>
      </c>
      <c r="AG32" s="841">
        <f t="shared" si="41"/>
        <v>1</v>
      </c>
      <c r="AH32" s="841">
        <f t="shared" si="41"/>
        <v>2157</v>
      </c>
      <c r="AI32" s="841">
        <f t="shared" si="41"/>
        <v>-1370</v>
      </c>
      <c r="AJ32" s="841">
        <f t="shared" si="41"/>
        <v>-1489</v>
      </c>
      <c r="AK32" s="841">
        <f t="shared" si="41"/>
        <v>20378</v>
      </c>
      <c r="AL32" s="841">
        <f t="shared" si="41"/>
        <v>-719</v>
      </c>
      <c r="AM32" s="841">
        <f t="shared" si="41"/>
        <v>-1396</v>
      </c>
      <c r="AN32" s="841">
        <f t="shared" si="41"/>
        <v>0</v>
      </c>
      <c r="AO32" s="841">
        <f t="shared" si="41"/>
        <v>0</v>
      </c>
      <c r="AP32" s="841">
        <f t="shared" si="41"/>
        <v>0</v>
      </c>
      <c r="AQ32" s="841">
        <f t="shared" si="41"/>
        <v>0</v>
      </c>
      <c r="AR32" s="841">
        <f t="shared" si="41"/>
        <v>0</v>
      </c>
      <c r="AS32" s="841">
        <f t="shared" si="41"/>
        <v>0</v>
      </c>
      <c r="AT32" s="841">
        <f t="shared" si="41"/>
        <v>0</v>
      </c>
      <c r="AU32" s="841">
        <f t="shared" si="41"/>
        <v>0</v>
      </c>
      <c r="AV32" s="841">
        <f t="shared" si="41"/>
        <v>0</v>
      </c>
      <c r="AW32" s="841">
        <f t="shared" si="41"/>
        <v>0</v>
      </c>
      <c r="AX32" s="841">
        <f t="shared" si="41"/>
        <v>0</v>
      </c>
      <c r="AY32" s="841">
        <f t="shared" si="41"/>
        <v>0</v>
      </c>
      <c r="AZ32" s="841">
        <f t="shared" si="41"/>
        <v>0</v>
      </c>
      <c r="BA32" s="841">
        <f t="shared" si="41"/>
        <v>0</v>
      </c>
      <c r="BB32" s="841">
        <f t="shared" si="41"/>
        <v>0</v>
      </c>
      <c r="BC32" s="841">
        <f t="shared" si="41"/>
        <v>0</v>
      </c>
      <c r="BD32" s="841">
        <f t="shared" si="41"/>
        <v>0</v>
      </c>
      <c r="BE32" s="841">
        <f t="shared" si="41"/>
        <v>0</v>
      </c>
      <c r="BF32" s="841">
        <f t="shared" si="41"/>
        <v>0</v>
      </c>
      <c r="BG32" s="841">
        <f t="shared" si="41"/>
        <v>0</v>
      </c>
      <c r="BH32" s="841">
        <f t="shared" si="41"/>
        <v>0</v>
      </c>
      <c r="BI32" s="841">
        <f t="shared" ref="BI32:BM32" si="43">BI28-BI30</f>
        <v>0</v>
      </c>
      <c r="BJ32" s="841">
        <f t="shared" si="43"/>
        <v>0</v>
      </c>
      <c r="BK32" s="841">
        <f t="shared" si="43"/>
        <v>0</v>
      </c>
      <c r="BL32" s="841">
        <f t="shared" si="43"/>
        <v>0</v>
      </c>
      <c r="BM32" s="841">
        <f t="shared" si="43"/>
        <v>0</v>
      </c>
      <c r="BN32" s="841">
        <f t="shared" ref="BN32" si="44">BN28-BN30</f>
        <v>0</v>
      </c>
    </row>
    <row r="33" spans="1:57" ht="18" customHeight="1">
      <c r="A33" s="779"/>
      <c r="B33" s="779"/>
      <c r="C33" s="779"/>
      <c r="D33" s="779"/>
      <c r="E33" s="779"/>
      <c r="F33" s="779"/>
      <c r="G33" s="779"/>
      <c r="H33" s="779"/>
      <c r="I33" s="779"/>
      <c r="J33" s="779"/>
      <c r="K33" s="779"/>
      <c r="L33" s="779"/>
      <c r="M33" s="779"/>
      <c r="N33" s="779"/>
      <c r="O33" s="779"/>
      <c r="P33" s="779"/>
      <c r="Q33" s="779"/>
      <c r="R33" s="779"/>
      <c r="S33" s="779"/>
      <c r="T33" s="779"/>
      <c r="U33" s="779"/>
      <c r="V33" s="779"/>
      <c r="W33" s="779"/>
      <c r="X33" s="779"/>
      <c r="Y33" s="779"/>
      <c r="Z33" s="779"/>
      <c r="AA33" s="779"/>
      <c r="AB33" s="779"/>
      <c r="AD33" s="839"/>
      <c r="AE33" s="841"/>
      <c r="AF33" s="841"/>
      <c r="AG33" s="841"/>
      <c r="AH33" s="841"/>
      <c r="AI33" s="841"/>
      <c r="AJ33" s="841"/>
      <c r="AK33" s="841"/>
      <c r="AL33" s="841"/>
      <c r="AM33" s="841"/>
      <c r="AN33" s="841"/>
      <c r="AO33" s="841"/>
      <c r="AP33" s="841"/>
      <c r="AQ33" s="841"/>
      <c r="AR33" s="841"/>
      <c r="AS33" s="841"/>
      <c r="AT33" s="841"/>
      <c r="AU33" s="841"/>
      <c r="AV33" s="841"/>
      <c r="AW33" s="841"/>
      <c r="AX33" s="841"/>
      <c r="AY33" s="841"/>
      <c r="AZ33" s="841"/>
      <c r="BA33" s="841"/>
      <c r="BB33" s="841"/>
      <c r="BC33" s="841"/>
      <c r="BD33" s="841"/>
      <c r="BE33" s="841"/>
    </row>
    <row r="34" spans="1:57" ht="18" customHeight="1">
      <c r="A34" s="779"/>
      <c r="B34" s="779"/>
      <c r="C34" s="779"/>
      <c r="D34" s="779"/>
      <c r="E34" s="779"/>
      <c r="F34" s="779"/>
      <c r="G34" s="779"/>
      <c r="H34" s="779"/>
      <c r="I34" s="779"/>
      <c r="J34" s="779"/>
      <c r="K34" s="779"/>
      <c r="L34" s="779"/>
      <c r="M34" s="779"/>
      <c r="N34" s="779"/>
      <c r="O34" s="779"/>
      <c r="P34" s="779"/>
      <c r="Q34" s="779"/>
      <c r="R34" s="779"/>
      <c r="S34" s="779"/>
      <c r="T34" s="779"/>
      <c r="U34" s="779"/>
      <c r="V34" s="779"/>
      <c r="W34" s="779"/>
      <c r="X34" s="779"/>
      <c r="Y34" s="779"/>
      <c r="Z34" s="779"/>
      <c r="AA34" s="779"/>
      <c r="AB34" s="779"/>
      <c r="AD34" s="2096" t="s">
        <v>1575</v>
      </c>
    </row>
    <row r="35" spans="1:57" ht="18" customHeight="1">
      <c r="A35" s="779"/>
      <c r="B35" s="779"/>
      <c r="C35" s="779"/>
      <c r="D35" s="779"/>
      <c r="E35" s="779"/>
      <c r="F35" s="779"/>
      <c r="G35" s="779"/>
      <c r="H35" s="779"/>
      <c r="I35" s="779"/>
      <c r="J35" s="779"/>
      <c r="K35" s="779"/>
      <c r="L35" s="779"/>
      <c r="M35" s="779"/>
      <c r="N35" s="779"/>
      <c r="O35" s="779"/>
      <c r="P35" s="779"/>
      <c r="Q35" s="779"/>
      <c r="R35" s="779"/>
      <c r="S35" s="779"/>
      <c r="T35" s="779"/>
      <c r="U35" s="779"/>
      <c r="V35" s="779"/>
      <c r="W35" s="779"/>
      <c r="X35" s="779"/>
      <c r="Y35" s="779"/>
      <c r="Z35" s="779"/>
      <c r="AA35" s="779"/>
      <c r="AB35" s="779"/>
      <c r="AD35" s="2027"/>
      <c r="AE35" s="2027">
        <v>2000</v>
      </c>
      <c r="AF35" s="2027">
        <v>2001</v>
      </c>
      <c r="AG35" s="2027">
        <v>2002</v>
      </c>
      <c r="AH35" s="2027">
        <v>2003</v>
      </c>
      <c r="AI35" s="2027">
        <v>2004</v>
      </c>
      <c r="AJ35" s="2027">
        <v>2005</v>
      </c>
      <c r="AK35" s="2027">
        <v>2006</v>
      </c>
      <c r="AL35" s="2027">
        <v>2007</v>
      </c>
      <c r="AM35" s="2027">
        <v>2008</v>
      </c>
      <c r="AN35" s="2027">
        <v>2009</v>
      </c>
      <c r="AO35" s="2027">
        <v>2010</v>
      </c>
      <c r="AP35" s="2027">
        <v>2011</v>
      </c>
      <c r="AQ35" s="2027">
        <v>2012</v>
      </c>
      <c r="AR35" s="2027">
        <v>2013</v>
      </c>
      <c r="AS35" s="2027">
        <v>2014</v>
      </c>
      <c r="AT35" s="2027">
        <v>2015</v>
      </c>
      <c r="AU35" s="2027">
        <v>2016</v>
      </c>
      <c r="AV35" s="2027">
        <v>2017</v>
      </c>
      <c r="AW35" s="2027">
        <v>2018</v>
      </c>
      <c r="AX35" s="2027">
        <v>2019</v>
      </c>
      <c r="AY35" s="2027">
        <v>2020</v>
      </c>
      <c r="AZ35" s="2027">
        <v>2021</v>
      </c>
      <c r="BA35" s="2027">
        <v>2022</v>
      </c>
      <c r="BB35" s="2027">
        <v>2023</v>
      </c>
      <c r="BC35" s="2027">
        <v>2024</v>
      </c>
      <c r="BD35" s="2027">
        <v>2025</v>
      </c>
    </row>
    <row r="36" spans="1:57" ht="18" customHeight="1">
      <c r="A36" s="779"/>
      <c r="B36" s="779"/>
      <c r="C36" s="779"/>
      <c r="D36" s="779"/>
      <c r="E36" s="779"/>
      <c r="F36" s="779"/>
      <c r="G36" s="779"/>
      <c r="H36" s="779"/>
      <c r="I36" s="779"/>
      <c r="J36" s="779"/>
      <c r="K36" s="779"/>
      <c r="L36" s="779"/>
      <c r="M36" s="779"/>
      <c r="N36" s="779"/>
      <c r="O36" s="779"/>
      <c r="P36" s="779"/>
      <c r="Q36" s="779"/>
      <c r="R36" s="779"/>
      <c r="S36" s="779"/>
      <c r="T36" s="779"/>
      <c r="U36" s="779"/>
      <c r="V36" s="779"/>
      <c r="W36" s="779"/>
      <c r="X36" s="779"/>
      <c r="Y36" s="779"/>
      <c r="Z36" s="779"/>
      <c r="AA36" s="779"/>
      <c r="AB36" s="779"/>
      <c r="AD36" s="2028" t="s">
        <v>1573</v>
      </c>
      <c r="AE36" s="2029">
        <f t="shared" ref="AE36:BC36" si="45">ROUND(AE38/AE37,3)*100</f>
        <v>21.3</v>
      </c>
      <c r="AF36" s="2029">
        <f t="shared" si="45"/>
        <v>23</v>
      </c>
      <c r="AG36" s="2029">
        <f t="shared" si="45"/>
        <v>24.8</v>
      </c>
      <c r="AH36" s="2029">
        <f t="shared" si="45"/>
        <v>26.400000000000002</v>
      </c>
      <c r="AI36" s="2029">
        <f t="shared" si="45"/>
        <v>29.4</v>
      </c>
      <c r="AJ36" s="2029">
        <f t="shared" si="45"/>
        <v>32.200000000000003</v>
      </c>
      <c r="AK36" s="2029">
        <f t="shared" si="45"/>
        <v>33.1</v>
      </c>
      <c r="AL36" s="2029">
        <f t="shared" si="45"/>
        <v>34.4</v>
      </c>
      <c r="AM36" s="2029">
        <f t="shared" si="45"/>
        <v>34.799999999999997</v>
      </c>
      <c r="AN36" s="2029">
        <f t="shared" si="45"/>
        <v>33.700000000000003</v>
      </c>
      <c r="AO36" s="2029">
        <f t="shared" si="45"/>
        <v>34.799999999999997</v>
      </c>
      <c r="AP36" s="2029">
        <f t="shared" si="45"/>
        <v>33.900000000000006</v>
      </c>
      <c r="AQ36" s="2029">
        <f t="shared" si="45"/>
        <v>32</v>
      </c>
      <c r="AR36" s="2029">
        <f t="shared" si="45"/>
        <v>32.1</v>
      </c>
      <c r="AS36" s="2029">
        <f t="shared" si="45"/>
        <v>32.300000000000004</v>
      </c>
      <c r="AT36" s="2029">
        <f t="shared" si="45"/>
        <v>33.4</v>
      </c>
      <c r="AU36" s="2029">
        <f t="shared" si="45"/>
        <v>33.200000000000003</v>
      </c>
      <c r="AV36" s="2029">
        <f t="shared" si="45"/>
        <v>32.9</v>
      </c>
      <c r="AW36" s="2029">
        <f t="shared" si="45"/>
        <v>40</v>
      </c>
      <c r="AX36" s="2029">
        <f t="shared" si="45"/>
        <v>39.700000000000003</v>
      </c>
      <c r="AY36" s="2029">
        <f t="shared" si="45"/>
        <v>37.700000000000003</v>
      </c>
      <c r="AZ36" s="2029">
        <f t="shared" si="45"/>
        <v>38.700000000000003</v>
      </c>
      <c r="BA36" s="2029">
        <f t="shared" si="45"/>
        <v>40.699999999999996</v>
      </c>
      <c r="BB36" s="2029">
        <f t="shared" si="45"/>
        <v>39.6</v>
      </c>
      <c r="BC36" s="2029">
        <f t="shared" si="45"/>
        <v>41.099999999999994</v>
      </c>
      <c r="BD36" s="2029">
        <f>ROUND(BD38/BD37,3)*100</f>
        <v>42.8</v>
      </c>
    </row>
    <row r="37" spans="1:57" ht="13.5" customHeight="1">
      <c r="A37" s="779"/>
      <c r="B37" s="779"/>
      <c r="C37" s="779"/>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D37" s="2028" t="s">
        <v>575</v>
      </c>
      <c r="AE37" s="2033">
        <v>2724773</v>
      </c>
      <c r="AF37" s="2033">
        <v>2873862</v>
      </c>
      <c r="AG37" s="2033">
        <v>3061514</v>
      </c>
      <c r="AH37" s="2033">
        <v>3052772</v>
      </c>
      <c r="AI37" s="2033">
        <v>3469417</v>
      </c>
      <c r="AJ37" s="2033">
        <v>3986990</v>
      </c>
      <c r="AK37" s="2033">
        <v>4225582</v>
      </c>
      <c r="AL37" s="2033">
        <v>4379523</v>
      </c>
      <c r="AM37" s="2033">
        <v>4595698</v>
      </c>
      <c r="AN37" s="2033">
        <v>3588382</v>
      </c>
      <c r="AO37" s="2033">
        <v>3412808</v>
      </c>
      <c r="AP37" s="2033">
        <v>3055594</v>
      </c>
      <c r="AQ37" s="2033">
        <v>3870097</v>
      </c>
      <c r="AR37" s="2033">
        <v>3522079</v>
      </c>
      <c r="AS37" s="2033">
        <v>3782635</v>
      </c>
      <c r="AT37" s="2033">
        <v>3747905</v>
      </c>
      <c r="AU37" s="2032">
        <v>3784819</v>
      </c>
      <c r="AV37" s="2032">
        <v>3979334</v>
      </c>
      <c r="AW37" s="2032">
        <v>3841184</v>
      </c>
      <c r="AX37" s="2032">
        <v>3992602</v>
      </c>
      <c r="AY37" s="2032">
        <v>3679230</v>
      </c>
      <c r="AZ37" s="2032">
        <v>3754397</v>
      </c>
      <c r="BA37" s="2032">
        <v>3552218</v>
      </c>
      <c r="BB37" s="2034">
        <v>4174531</v>
      </c>
      <c r="BC37" s="2034">
        <v>3748988</v>
      </c>
      <c r="BD37" s="2034">
        <v>4166709</v>
      </c>
    </row>
    <row r="38" spans="1:57">
      <c r="A38" s="779"/>
      <c r="B38" s="779"/>
      <c r="C38" s="779"/>
      <c r="D38" s="779"/>
      <c r="E38" s="779"/>
      <c r="F38" s="779"/>
      <c r="G38" s="779"/>
      <c r="H38" s="779"/>
      <c r="I38" s="779"/>
      <c r="J38" s="779"/>
      <c r="K38" s="779"/>
      <c r="L38" s="779"/>
      <c r="M38" s="779"/>
      <c r="N38" s="779"/>
      <c r="O38" s="779"/>
      <c r="P38" s="779"/>
      <c r="Q38" s="779"/>
      <c r="R38" s="779"/>
      <c r="S38" s="779"/>
      <c r="T38" s="779"/>
      <c r="U38" s="779"/>
      <c r="V38" s="779"/>
      <c r="W38" s="779"/>
      <c r="X38" s="779"/>
      <c r="Y38" s="779"/>
      <c r="Z38" s="779"/>
      <c r="AA38" s="779"/>
      <c r="AB38" s="779"/>
      <c r="AD38" s="2028" t="s">
        <v>576</v>
      </c>
      <c r="AE38" s="2033">
        <v>581736</v>
      </c>
      <c r="AF38" s="2033">
        <v>661617</v>
      </c>
      <c r="AG38" s="2033">
        <v>758855</v>
      </c>
      <c r="AH38" s="2033">
        <v>804823</v>
      </c>
      <c r="AI38" s="2033">
        <v>1020989</v>
      </c>
      <c r="AJ38" s="2033">
        <v>1282414</v>
      </c>
      <c r="AK38" s="2033">
        <v>1399218</v>
      </c>
      <c r="AL38" s="2033">
        <v>1505793</v>
      </c>
      <c r="AM38" s="2033">
        <v>1600231</v>
      </c>
      <c r="AN38" s="2033">
        <v>1209731</v>
      </c>
      <c r="AO38" s="2033">
        <v>1188743</v>
      </c>
      <c r="AP38" s="2033">
        <v>1035776</v>
      </c>
      <c r="AQ38" s="2033">
        <v>1238524</v>
      </c>
      <c r="AR38" s="2033">
        <v>1129559</v>
      </c>
      <c r="AS38" s="2033">
        <v>1222916</v>
      </c>
      <c r="AT38" s="2033">
        <v>1252670</v>
      </c>
      <c r="AU38" s="2032">
        <v>1257365</v>
      </c>
      <c r="AV38" s="2032">
        <v>1308163</v>
      </c>
      <c r="AW38" s="2032">
        <v>1536518</v>
      </c>
      <c r="AX38" s="2032">
        <v>1585870</v>
      </c>
      <c r="AY38" s="2032">
        <v>1388227</v>
      </c>
      <c r="AZ38" s="2032">
        <v>1451605</v>
      </c>
      <c r="BA38" s="2032">
        <v>1444679</v>
      </c>
      <c r="BB38" s="2034">
        <v>1652575</v>
      </c>
      <c r="BC38" s="2034">
        <v>1539738</v>
      </c>
      <c r="BD38" s="2034">
        <v>1783265</v>
      </c>
    </row>
    <row r="39" spans="1:57">
      <c r="A39" s="779"/>
      <c r="B39" s="779"/>
      <c r="C39" s="779"/>
      <c r="D39" s="779"/>
      <c r="E39" s="779"/>
      <c r="F39" s="779"/>
      <c r="G39" s="779"/>
      <c r="H39" s="779"/>
      <c r="I39" s="779"/>
      <c r="J39" s="779"/>
      <c r="K39" s="779"/>
      <c r="L39" s="779"/>
      <c r="M39" s="779"/>
      <c r="N39" s="779"/>
      <c r="O39" s="779"/>
      <c r="P39" s="779"/>
      <c r="Q39" s="779"/>
      <c r="R39" s="779"/>
      <c r="S39" s="779"/>
      <c r="T39" s="779"/>
      <c r="U39" s="779"/>
      <c r="V39" s="779"/>
      <c r="W39" s="779"/>
      <c r="X39" s="779"/>
      <c r="Y39" s="779"/>
      <c r="Z39" s="779"/>
      <c r="AA39" s="779"/>
      <c r="AB39" s="779"/>
    </row>
    <row r="40" spans="1:57" ht="10.5" hidden="1" customHeight="1">
      <c r="A40" s="779"/>
      <c r="B40" s="779"/>
      <c r="C40" s="779"/>
      <c r="D40" s="779"/>
      <c r="E40" s="779"/>
      <c r="F40" s="779"/>
      <c r="G40" s="779"/>
      <c r="H40" s="779"/>
      <c r="I40" s="779"/>
      <c r="J40" s="779"/>
      <c r="K40" s="779"/>
      <c r="L40" s="779"/>
      <c r="M40" s="779"/>
      <c r="N40" s="779"/>
      <c r="O40" s="779"/>
      <c r="P40" s="779"/>
      <c r="Q40" s="779"/>
      <c r="R40" s="779"/>
      <c r="S40" s="779"/>
      <c r="T40" s="779"/>
      <c r="U40" s="779"/>
      <c r="V40" s="779"/>
      <c r="W40" s="779"/>
      <c r="X40" s="779"/>
      <c r="Y40" s="779"/>
      <c r="Z40" s="779"/>
      <c r="AA40" s="779"/>
      <c r="AB40" s="779"/>
      <c r="AD40" s="769" t="s">
        <v>579</v>
      </c>
    </row>
    <row r="41" spans="1:57" ht="9" hidden="1" customHeight="1">
      <c r="A41" s="779"/>
      <c r="B41" s="779"/>
      <c r="C41" s="779"/>
      <c r="D41" s="779"/>
      <c r="E41" s="779"/>
      <c r="F41" s="779"/>
      <c r="G41" s="779"/>
      <c r="H41" s="779"/>
      <c r="I41" s="779"/>
      <c r="J41" s="779"/>
      <c r="K41" s="779"/>
      <c r="L41" s="779"/>
      <c r="M41" s="779"/>
      <c r="N41" s="779"/>
      <c r="O41" s="779"/>
      <c r="P41" s="779"/>
      <c r="Q41" s="779"/>
      <c r="R41" s="779"/>
      <c r="S41" s="779"/>
      <c r="T41" s="779"/>
      <c r="U41" s="779"/>
      <c r="V41" s="779"/>
      <c r="W41" s="779"/>
      <c r="X41" s="779"/>
      <c r="Y41" s="779"/>
      <c r="Z41" s="779"/>
      <c r="AA41" s="779"/>
      <c r="AB41" s="779"/>
      <c r="AD41" s="769" t="s">
        <v>580</v>
      </c>
    </row>
    <row r="42" spans="1:57" ht="17.25" hidden="1" customHeight="1">
      <c r="A42" s="779"/>
      <c r="B42" s="779"/>
      <c r="C42" s="779"/>
      <c r="D42" s="779"/>
      <c r="E42" s="779"/>
      <c r="F42" s="779"/>
      <c r="G42" s="779"/>
      <c r="H42" s="779"/>
      <c r="I42" s="779"/>
      <c r="J42" s="779"/>
      <c r="K42" s="779"/>
      <c r="L42" s="779"/>
      <c r="M42" s="779"/>
      <c r="N42" s="779"/>
      <c r="O42" s="779"/>
      <c r="P42" s="779"/>
      <c r="Q42" s="779"/>
      <c r="R42" s="779"/>
      <c r="S42" s="779"/>
      <c r="T42" s="779"/>
      <c r="U42" s="779"/>
      <c r="V42" s="779"/>
      <c r="W42" s="779"/>
      <c r="X42" s="779"/>
      <c r="Y42" s="779"/>
      <c r="Z42" s="779"/>
      <c r="AA42" s="779"/>
      <c r="AB42" s="779"/>
      <c r="AD42" s="769" t="s">
        <v>581</v>
      </c>
    </row>
    <row r="43" spans="1:57" ht="12.75" hidden="1" customHeight="1">
      <c r="A43" s="779"/>
      <c r="B43" s="779"/>
      <c r="C43" s="779"/>
      <c r="D43" s="779"/>
      <c r="E43" s="779"/>
      <c r="F43" s="779"/>
      <c r="G43" s="779"/>
      <c r="H43" s="779"/>
      <c r="I43" s="779"/>
      <c r="J43" s="779"/>
      <c r="K43" s="779"/>
      <c r="L43" s="779"/>
      <c r="M43" s="779"/>
      <c r="N43" s="779"/>
      <c r="O43" s="779"/>
      <c r="P43" s="779"/>
      <c r="Q43" s="779"/>
      <c r="R43" s="779"/>
      <c r="S43" s="779"/>
      <c r="T43" s="779"/>
      <c r="U43" s="779"/>
      <c r="V43" s="779"/>
      <c r="W43" s="779"/>
      <c r="X43" s="779"/>
      <c r="Y43" s="779"/>
      <c r="Z43" s="779"/>
      <c r="AA43" s="779"/>
      <c r="AB43" s="779"/>
      <c r="AD43" s="769" t="s">
        <v>582</v>
      </c>
    </row>
    <row r="44" spans="1:57" hidden="1">
      <c r="A44" s="779"/>
      <c r="B44" s="779"/>
      <c r="C44" s="779"/>
      <c r="D44" s="779"/>
      <c r="E44" s="779"/>
      <c r="F44" s="779"/>
      <c r="G44" s="779"/>
      <c r="H44" s="779"/>
      <c r="I44" s="779"/>
      <c r="J44" s="779"/>
      <c r="K44" s="779"/>
      <c r="L44" s="779"/>
      <c r="M44" s="779"/>
      <c r="N44" s="779"/>
      <c r="O44" s="779"/>
      <c r="P44" s="779"/>
      <c r="Q44" s="779"/>
      <c r="R44" s="779"/>
      <c r="S44" s="779"/>
      <c r="T44" s="779"/>
      <c r="U44" s="779"/>
      <c r="V44" s="779"/>
      <c r="W44" s="779"/>
      <c r="X44" s="779"/>
      <c r="Y44" s="779"/>
      <c r="Z44" s="779"/>
      <c r="AA44" s="779"/>
      <c r="AB44" s="779"/>
      <c r="AC44" s="842"/>
      <c r="AD44" s="769" t="s">
        <v>583</v>
      </c>
    </row>
    <row r="45" spans="1:57" hidden="1">
      <c r="A45" s="779"/>
      <c r="B45" s="779"/>
      <c r="C45" s="779"/>
      <c r="D45" s="779"/>
      <c r="E45" s="779"/>
      <c r="F45" s="779"/>
      <c r="G45" s="779"/>
      <c r="H45" s="779"/>
      <c r="I45" s="779"/>
      <c r="J45" s="779"/>
      <c r="K45" s="779"/>
      <c r="L45" s="779"/>
      <c r="M45" s="779"/>
      <c r="N45" s="779"/>
      <c r="O45" s="779"/>
      <c r="P45" s="779"/>
      <c r="Q45" s="779"/>
      <c r="R45" s="779"/>
      <c r="S45" s="779"/>
      <c r="T45" s="779"/>
      <c r="U45" s="779"/>
      <c r="V45" s="779"/>
      <c r="W45" s="779"/>
      <c r="X45" s="779"/>
      <c r="Y45" s="779"/>
      <c r="Z45" s="779"/>
      <c r="AA45" s="779"/>
      <c r="AB45" s="779"/>
      <c r="AC45" s="842"/>
      <c r="AD45" s="769" t="s">
        <v>584</v>
      </c>
    </row>
    <row r="46" spans="1:57" hidden="1">
      <c r="AC46" s="842"/>
    </row>
    <row r="47" spans="1:57" hidden="1">
      <c r="V47" s="2302"/>
      <c r="W47" s="2302"/>
      <c r="X47" s="2302"/>
      <c r="Y47" s="2302"/>
      <c r="Z47" s="843"/>
      <c r="AA47" s="844"/>
      <c r="AB47" s="842"/>
      <c r="AC47" s="842"/>
    </row>
    <row r="48" spans="1:57" hidden="1">
      <c r="V48" s="2302"/>
      <c r="W48" s="2302"/>
      <c r="X48" s="2302"/>
      <c r="Y48" s="2302"/>
      <c r="Z48" s="843"/>
      <c r="AA48" s="844"/>
      <c r="AB48" s="842"/>
      <c r="AC48" s="842"/>
      <c r="AD48" s="769" t="s">
        <v>585</v>
      </c>
    </row>
    <row r="49" spans="22:30" hidden="1">
      <c r="V49" s="2098"/>
      <c r="W49" s="2098"/>
      <c r="X49" s="2098"/>
      <c r="Y49" s="2098"/>
      <c r="Z49" s="2098"/>
      <c r="AA49" s="2098"/>
      <c r="AB49" s="2098"/>
      <c r="AC49" s="2097"/>
      <c r="AD49" s="769" t="s">
        <v>586</v>
      </c>
    </row>
    <row r="50" spans="22:30" hidden="1">
      <c r="V50" s="2098"/>
      <c r="W50" s="2098"/>
      <c r="X50" s="2098"/>
      <c r="Y50" s="2098"/>
      <c r="Z50" s="2098"/>
      <c r="AA50" s="2098"/>
      <c r="AB50" s="2098"/>
      <c r="AC50" s="2099"/>
      <c r="AD50" s="769" t="s">
        <v>587</v>
      </c>
    </row>
    <row r="51" spans="22:30" hidden="1">
      <c r="V51" s="2276"/>
      <c r="W51" s="2276"/>
      <c r="X51" s="2276"/>
      <c r="Y51" s="2276"/>
      <c r="Z51" s="2277"/>
      <c r="AA51" s="2277"/>
      <c r="AB51" s="2098"/>
      <c r="AC51" s="2099"/>
      <c r="AD51" s="769" t="s">
        <v>588</v>
      </c>
    </row>
    <row r="52" spans="22:30" ht="54" hidden="1" customHeight="1">
      <c r="V52" s="2312" t="s">
        <v>1576</v>
      </c>
      <c r="W52" s="2312"/>
      <c r="X52" s="2312" t="s">
        <v>1577</v>
      </c>
      <c r="Y52" s="2312"/>
      <c r="Z52" s="2313" t="s">
        <v>1578</v>
      </c>
      <c r="AA52" s="2313"/>
      <c r="AB52" s="2098"/>
      <c r="AC52" s="2099"/>
      <c r="AD52" s="2106" t="s">
        <v>589</v>
      </c>
    </row>
    <row r="53" spans="22:30" hidden="1">
      <c r="V53" s="2301"/>
      <c r="W53" s="2302"/>
      <c r="X53" s="2302"/>
      <c r="Y53" s="2302"/>
      <c r="Z53" s="843"/>
      <c r="AA53" s="844"/>
      <c r="AB53" s="842"/>
    </row>
    <row r="54" spans="22:30" hidden="1">
      <c r="V54" s="2301"/>
      <c r="W54" s="2302"/>
      <c r="X54" s="2302"/>
      <c r="Y54" s="2302"/>
      <c r="Z54" s="843"/>
      <c r="AA54" s="844"/>
      <c r="AB54" s="842"/>
    </row>
    <row r="55" spans="22:30" hidden="1">
      <c r="AD55" s="769" t="s">
        <v>590</v>
      </c>
    </row>
    <row r="56" spans="22:30" hidden="1">
      <c r="AD56" s="769" t="s">
        <v>591</v>
      </c>
    </row>
    <row r="57" spans="22:30" hidden="1">
      <c r="AD57" s="769" t="s">
        <v>592</v>
      </c>
    </row>
    <row r="58" spans="22:30" hidden="1">
      <c r="AD58" s="769" t="s">
        <v>593</v>
      </c>
    </row>
    <row r="59" spans="22:30" hidden="1"/>
    <row r="60" spans="22:30" hidden="1">
      <c r="AD60" s="769" t="s">
        <v>594</v>
      </c>
    </row>
    <row r="61" spans="22:30" hidden="1">
      <c r="AD61" s="769" t="s">
        <v>595</v>
      </c>
    </row>
    <row r="62" spans="22:30" hidden="1">
      <c r="AD62" s="769" t="s">
        <v>596</v>
      </c>
    </row>
    <row r="63" spans="22:30" hidden="1">
      <c r="AD63" s="769" t="s">
        <v>597</v>
      </c>
    </row>
    <row r="64" spans="22:30" hidden="1"/>
    <row r="65" spans="30:43" hidden="1">
      <c r="AD65" s="769" t="s">
        <v>598</v>
      </c>
    </row>
    <row r="66" spans="30:43" hidden="1">
      <c r="AD66" s="769" t="s">
        <v>599</v>
      </c>
    </row>
    <row r="67" spans="30:43" hidden="1">
      <c r="AD67" s="769" t="s">
        <v>600</v>
      </c>
    </row>
    <row r="68" spans="30:43" hidden="1">
      <c r="AD68" s="769" t="s">
        <v>601</v>
      </c>
    </row>
    <row r="69" spans="30:43" hidden="1"/>
    <row r="70" spans="30:43" hidden="1">
      <c r="AD70" s="769" t="s">
        <v>602</v>
      </c>
    </row>
    <row r="71" spans="30:43" hidden="1">
      <c r="AD71" s="769" t="s">
        <v>603</v>
      </c>
    </row>
    <row r="72" spans="30:43" hidden="1">
      <c r="AD72" s="769" t="s">
        <v>604</v>
      </c>
    </row>
    <row r="73" spans="30:43" hidden="1">
      <c r="AD73" s="769" t="s">
        <v>605</v>
      </c>
    </row>
    <row r="74" spans="30:43" hidden="1"/>
    <row r="75" spans="30:43" hidden="1">
      <c r="AD75" s="845" t="s">
        <v>606</v>
      </c>
      <c r="AE75" s="1986" t="s">
        <v>1579</v>
      </c>
      <c r="AF75" s="846"/>
      <c r="AG75" s="846"/>
      <c r="AH75" s="846"/>
      <c r="AI75" s="846"/>
      <c r="AJ75" s="846"/>
      <c r="AK75" s="846"/>
      <c r="AL75" s="846"/>
      <c r="AM75" s="846"/>
      <c r="AN75" s="846"/>
      <c r="AO75" s="846"/>
      <c r="AP75" s="846"/>
      <c r="AQ75" s="847"/>
    </row>
    <row r="76" spans="30:43" hidden="1">
      <c r="AD76" s="848"/>
      <c r="AE76" s="849" t="s">
        <v>607</v>
      </c>
      <c r="AF76" s="849"/>
      <c r="AG76" s="849"/>
      <c r="AH76" s="849"/>
      <c r="AI76" s="849"/>
      <c r="AJ76" s="849"/>
      <c r="AK76" s="849"/>
      <c r="AL76" s="849"/>
      <c r="AM76" s="849"/>
      <c r="AN76" s="849"/>
      <c r="AO76" s="849"/>
      <c r="AP76" s="849"/>
      <c r="AQ76" s="850"/>
    </row>
    <row r="77" spans="30:43" hidden="1"/>
    <row r="78" spans="30:43" hidden="1"/>
    <row r="79" spans="30:43" hidden="1">
      <c r="AD79" s="769" t="s">
        <v>608</v>
      </c>
    </row>
    <row r="80" spans="30:43" hidden="1">
      <c r="AD80" s="769" t="s">
        <v>609</v>
      </c>
    </row>
    <row r="81" spans="28:44" hidden="1">
      <c r="AB81" s="769">
        <f>RANK(AQ85,$AQ$85:$AQ$96,)</f>
        <v>1</v>
      </c>
    </row>
    <row r="82" spans="28:44" hidden="1">
      <c r="AD82" s="769" t="s">
        <v>610</v>
      </c>
    </row>
    <row r="83" spans="28:44" hidden="1">
      <c r="AB83" s="769">
        <f t="shared" ref="AB83:AB92" si="46">RANK(AQ87,$AQ$85:$AQ$96,)</f>
        <v>2</v>
      </c>
    </row>
    <row r="84" spans="28:44" hidden="1">
      <c r="AB84" s="769">
        <f t="shared" si="46"/>
        <v>3</v>
      </c>
      <c r="AE84" s="769">
        <v>2008</v>
      </c>
      <c r="AF84" s="769">
        <f>AE84+1</f>
        <v>2009</v>
      </c>
      <c r="AG84" s="769">
        <f t="shared" ref="AG84:AN84" si="47">AF84+1</f>
        <v>2010</v>
      </c>
      <c r="AH84" s="769">
        <f t="shared" si="47"/>
        <v>2011</v>
      </c>
      <c r="AI84" s="769">
        <f t="shared" si="47"/>
        <v>2012</v>
      </c>
      <c r="AJ84" s="769">
        <f t="shared" si="47"/>
        <v>2013</v>
      </c>
      <c r="AK84" s="769">
        <f t="shared" si="47"/>
        <v>2014</v>
      </c>
      <c r="AL84" s="769">
        <f t="shared" si="47"/>
        <v>2015</v>
      </c>
      <c r="AM84" s="769">
        <f t="shared" si="47"/>
        <v>2016</v>
      </c>
      <c r="AN84" s="769">
        <f t="shared" si="47"/>
        <v>2017</v>
      </c>
      <c r="AO84" s="769">
        <f>AN84+1</f>
        <v>2018</v>
      </c>
      <c r="AP84" s="769">
        <v>2019</v>
      </c>
      <c r="AQ84" s="769">
        <v>2020</v>
      </c>
      <c r="AR84" s="769">
        <v>2021</v>
      </c>
    </row>
    <row r="85" spans="28:44" hidden="1">
      <c r="AB85" s="769">
        <f t="shared" si="46"/>
        <v>4</v>
      </c>
      <c r="AD85" s="769" t="s">
        <v>566</v>
      </c>
      <c r="AE85" s="851">
        <v>3080279</v>
      </c>
      <c r="AF85" s="851">
        <v>2347010</v>
      </c>
      <c r="AG85" s="851">
        <v>2209259</v>
      </c>
      <c r="AH85" s="851">
        <v>2137327</v>
      </c>
      <c r="AI85" s="851">
        <v>2269834</v>
      </c>
      <c r="AJ85" s="851">
        <v>2238157</v>
      </c>
      <c r="AK85" s="851">
        <v>2347862</v>
      </c>
      <c r="AL85" s="851">
        <v>2374537</v>
      </c>
      <c r="AM85" s="851">
        <v>2345803</v>
      </c>
      <c r="AN85" s="851">
        <v>2586955</v>
      </c>
      <c r="AO85" s="851">
        <v>2900232</v>
      </c>
      <c r="AP85" s="840">
        <v>2981694</v>
      </c>
      <c r="AQ85" s="840">
        <v>2679586</v>
      </c>
      <c r="AR85" s="769">
        <v>273613</v>
      </c>
    </row>
    <row r="86" spans="28:44" hidden="1">
      <c r="AB86" s="769">
        <f t="shared" si="46"/>
        <v>6</v>
      </c>
      <c r="AD86" s="769" t="s">
        <v>611</v>
      </c>
      <c r="AE86" s="851">
        <v>716135</v>
      </c>
      <c r="AF86" s="851">
        <v>583112</v>
      </c>
      <c r="AG86" s="851">
        <v>578054</v>
      </c>
      <c r="AH86" s="851">
        <v>580883</v>
      </c>
      <c r="AI86" s="851">
        <v>621065</v>
      </c>
      <c r="AJ86" s="851">
        <v>617707</v>
      </c>
      <c r="AK86" s="851">
        <v>598730</v>
      </c>
      <c r="AL86" s="851">
        <v>612478</v>
      </c>
      <c r="AM86" s="851">
        <v>638548</v>
      </c>
      <c r="AN86" s="851">
        <v>491777</v>
      </c>
      <c r="AO86" s="851">
        <v>0</v>
      </c>
      <c r="AP86" s="840">
        <v>0</v>
      </c>
      <c r="AQ86" s="840">
        <v>0</v>
      </c>
      <c r="AR86" s="769">
        <v>0</v>
      </c>
    </row>
    <row r="87" spans="28:44" hidden="1">
      <c r="AB87" s="769">
        <f t="shared" si="46"/>
        <v>8</v>
      </c>
      <c r="AD87" s="769" t="s">
        <v>567</v>
      </c>
      <c r="AE87" s="851">
        <v>759731</v>
      </c>
      <c r="AF87" s="851">
        <v>551433</v>
      </c>
      <c r="AG87" s="851">
        <v>544203</v>
      </c>
      <c r="AH87" s="851">
        <v>536929</v>
      </c>
      <c r="AI87" s="851">
        <v>697084</v>
      </c>
      <c r="AJ87" s="851">
        <v>678564</v>
      </c>
      <c r="AK87" s="851">
        <v>721821</v>
      </c>
      <c r="AL87" s="851">
        <v>708948</v>
      </c>
      <c r="AM87" s="851">
        <v>723636</v>
      </c>
      <c r="AN87" s="851">
        <v>810833</v>
      </c>
      <c r="AO87" s="851">
        <v>831067</v>
      </c>
      <c r="AP87" s="840">
        <v>917899</v>
      </c>
      <c r="AQ87" s="840">
        <v>929350</v>
      </c>
      <c r="AR87" s="769">
        <v>891535</v>
      </c>
    </row>
    <row r="88" spans="28:44" hidden="1">
      <c r="AB88" s="769">
        <f t="shared" si="46"/>
        <v>7</v>
      </c>
      <c r="AD88" s="769" t="s">
        <v>568</v>
      </c>
      <c r="AE88" s="851">
        <v>541043</v>
      </c>
      <c r="AF88" s="851">
        <v>413470</v>
      </c>
      <c r="AG88" s="851">
        <v>398463</v>
      </c>
      <c r="AH88" s="851">
        <v>425006</v>
      </c>
      <c r="AI88" s="851">
        <v>473068</v>
      </c>
      <c r="AJ88" s="851">
        <v>452855</v>
      </c>
      <c r="AK88" s="851">
        <v>432700</v>
      </c>
      <c r="AL88" s="851">
        <v>378967</v>
      </c>
      <c r="AM88" s="851">
        <v>393494</v>
      </c>
      <c r="AN88" s="851">
        <v>409175</v>
      </c>
      <c r="AO88" s="851">
        <v>406619</v>
      </c>
      <c r="AP88" s="840">
        <v>429957</v>
      </c>
      <c r="AQ88" s="840">
        <v>390383</v>
      </c>
      <c r="AR88" s="769">
        <v>374097</v>
      </c>
    </row>
    <row r="89" spans="28:44" hidden="1">
      <c r="AB89" s="769">
        <f t="shared" si="46"/>
        <v>10</v>
      </c>
      <c r="AD89" s="769" t="s">
        <v>612</v>
      </c>
      <c r="AE89" s="851">
        <v>392932</v>
      </c>
      <c r="AF89" s="851">
        <v>309176</v>
      </c>
      <c r="AG89" s="851">
        <v>292537</v>
      </c>
      <c r="AH89" s="851">
        <v>278209</v>
      </c>
      <c r="AI89" s="851">
        <v>330495</v>
      </c>
      <c r="AJ89" s="851">
        <v>346205</v>
      </c>
      <c r="AK89" s="851">
        <v>355577</v>
      </c>
      <c r="AL89" s="851">
        <v>344857</v>
      </c>
      <c r="AM89" s="851">
        <v>344077</v>
      </c>
      <c r="AN89" s="851">
        <v>365455</v>
      </c>
      <c r="AO89" s="851">
        <v>374338</v>
      </c>
      <c r="AP89" s="840">
        <v>388567</v>
      </c>
      <c r="AQ89" s="840">
        <v>375709</v>
      </c>
      <c r="AR89" s="769">
        <v>369344</v>
      </c>
    </row>
    <row r="90" spans="28:44" hidden="1">
      <c r="AB90" s="769">
        <f t="shared" si="46"/>
        <v>5</v>
      </c>
      <c r="AD90" s="769" t="s">
        <v>613</v>
      </c>
      <c r="AE90" s="851">
        <v>230396</v>
      </c>
      <c r="AF90" s="851">
        <v>208858</v>
      </c>
      <c r="AG90" s="851">
        <v>183801</v>
      </c>
      <c r="AH90" s="851">
        <v>187155</v>
      </c>
      <c r="AI90" s="851">
        <v>208658</v>
      </c>
      <c r="AJ90" s="851">
        <v>191125</v>
      </c>
      <c r="AK90" s="851">
        <v>191545</v>
      </c>
      <c r="AL90" s="851">
        <v>207968</v>
      </c>
      <c r="AM90" s="851">
        <v>220859</v>
      </c>
      <c r="AN90" s="851">
        <v>232754</v>
      </c>
      <c r="AO90" s="851">
        <v>238709</v>
      </c>
      <c r="AP90" s="840">
        <v>246957</v>
      </c>
      <c r="AQ90" s="840">
        <v>222642</v>
      </c>
      <c r="AR90" s="769">
        <v>220760</v>
      </c>
    </row>
    <row r="91" spans="28:44" hidden="1">
      <c r="AB91" s="769">
        <f t="shared" si="46"/>
        <v>11</v>
      </c>
      <c r="AD91" s="769" t="s">
        <v>614</v>
      </c>
      <c r="AE91" s="851">
        <v>164478</v>
      </c>
      <c r="AF91" s="851">
        <v>127358</v>
      </c>
      <c r="AG91" s="851">
        <v>132312</v>
      </c>
      <c r="AH91" s="851">
        <v>136635</v>
      </c>
      <c r="AI91" s="852">
        <v>174096</v>
      </c>
      <c r="AJ91" s="851">
        <v>186834</v>
      </c>
      <c r="AK91" s="851">
        <v>233299</v>
      </c>
      <c r="AL91" s="851">
        <v>188907</v>
      </c>
      <c r="AM91" s="851">
        <v>190281</v>
      </c>
      <c r="AN91" s="851">
        <v>204002</v>
      </c>
      <c r="AO91" s="851">
        <v>205571</v>
      </c>
      <c r="AP91" s="840">
        <v>207431</v>
      </c>
      <c r="AQ91" s="840">
        <v>184222</v>
      </c>
      <c r="AR91" s="769">
        <v>172000</v>
      </c>
    </row>
    <row r="92" spans="28:44" hidden="1">
      <c r="AB92" s="769">
        <f t="shared" si="46"/>
        <v>9</v>
      </c>
      <c r="AD92" s="769" t="s">
        <v>615</v>
      </c>
      <c r="AE92" s="851">
        <v>229181</v>
      </c>
      <c r="AF92" s="851">
        <v>234619</v>
      </c>
      <c r="AG92" s="851">
        <v>211947</v>
      </c>
      <c r="AH92" s="851">
        <v>199574</v>
      </c>
      <c r="AI92" s="851">
        <v>239247</v>
      </c>
      <c r="AJ92" s="851">
        <v>222926</v>
      </c>
      <c r="AK92" s="851">
        <v>229183</v>
      </c>
      <c r="AL92" s="851">
        <v>224502</v>
      </c>
      <c r="AM92" s="851">
        <v>227662</v>
      </c>
      <c r="AN92" s="851">
        <v>224847</v>
      </c>
      <c r="AO92" s="851">
        <v>198521</v>
      </c>
      <c r="AP92" s="840">
        <v>219239</v>
      </c>
      <c r="AQ92" s="840">
        <v>193474</v>
      </c>
      <c r="AR92" s="769">
        <v>121556</v>
      </c>
    </row>
    <row r="93" spans="28:44" hidden="1">
      <c r="AD93" s="769" t="s">
        <v>616</v>
      </c>
      <c r="AE93" s="851">
        <v>309257</v>
      </c>
      <c r="AF93" s="851">
        <v>213290</v>
      </c>
      <c r="AG93" s="851">
        <v>199936</v>
      </c>
      <c r="AH93" s="851">
        <v>210019</v>
      </c>
      <c r="AI93" s="851">
        <v>228658</v>
      </c>
      <c r="AJ93" s="851">
        <v>199374</v>
      </c>
      <c r="AK93" s="851">
        <v>202236</v>
      </c>
      <c r="AL93" s="851">
        <v>204364</v>
      </c>
      <c r="AM93" s="851">
        <v>199116</v>
      </c>
      <c r="AN93" s="851">
        <v>205525</v>
      </c>
      <c r="AO93" s="851">
        <v>188269</v>
      </c>
      <c r="AP93" s="840">
        <v>140508</v>
      </c>
      <c r="AQ93" s="840">
        <v>133638</v>
      </c>
      <c r="AR93" s="769">
        <v>133872</v>
      </c>
    </row>
    <row r="94" spans="28:44" hidden="1">
      <c r="AD94" s="769" t="s">
        <v>569</v>
      </c>
      <c r="AE94" s="851">
        <v>114940</v>
      </c>
      <c r="AF94" s="851">
        <v>106717</v>
      </c>
      <c r="AG94" s="851">
        <v>112477</v>
      </c>
      <c r="AH94" s="851">
        <v>121190</v>
      </c>
      <c r="AI94" s="851">
        <v>128193</v>
      </c>
      <c r="AJ94" s="851">
        <v>119305</v>
      </c>
      <c r="AK94" s="851">
        <v>116935</v>
      </c>
      <c r="AL94" s="851">
        <v>115793</v>
      </c>
      <c r="AM94" s="851">
        <v>128466</v>
      </c>
      <c r="AN94" s="851">
        <v>144620</v>
      </c>
      <c r="AO94" s="851">
        <v>167938</v>
      </c>
      <c r="AP94" s="840">
        <v>214761</v>
      </c>
      <c r="AQ94" s="840">
        <v>348361</v>
      </c>
      <c r="AR94" s="769">
        <v>355633</v>
      </c>
    </row>
    <row r="95" spans="28:44" hidden="1">
      <c r="AD95" s="769" t="s">
        <v>617</v>
      </c>
      <c r="AE95" s="851">
        <v>121684</v>
      </c>
      <c r="AF95" s="851">
        <v>83759</v>
      </c>
      <c r="AG95" s="851">
        <v>85196</v>
      </c>
      <c r="AH95" s="851">
        <v>92420</v>
      </c>
      <c r="AI95" s="851">
        <v>106454</v>
      </c>
      <c r="AJ95" s="851">
        <v>119449</v>
      </c>
      <c r="AK95" s="851">
        <v>131678</v>
      </c>
      <c r="AL95" s="851">
        <v>129427</v>
      </c>
      <c r="AM95" s="851">
        <v>126464</v>
      </c>
      <c r="AN95" s="851">
        <v>144971</v>
      </c>
      <c r="AO95" s="851">
        <v>139151</v>
      </c>
      <c r="AP95" s="840">
        <v>145652</v>
      </c>
      <c r="AQ95" s="840">
        <v>120516</v>
      </c>
      <c r="AR95" s="769">
        <v>118540</v>
      </c>
    </row>
    <row r="96" spans="28:44" hidden="1">
      <c r="AD96" s="769" t="s">
        <v>618</v>
      </c>
      <c r="AE96" s="851">
        <v>129407</v>
      </c>
      <c r="AF96" s="851">
        <v>116218</v>
      </c>
      <c r="AG96" s="851">
        <v>111136</v>
      </c>
      <c r="AH96" s="851">
        <v>110936</v>
      </c>
      <c r="AI96" s="851">
        <v>127959</v>
      </c>
      <c r="AJ96" s="851">
        <v>146549</v>
      </c>
      <c r="AK96" s="851">
        <v>151087</v>
      </c>
      <c r="AL96" s="851">
        <v>148594</v>
      </c>
      <c r="AM96" s="851">
        <v>137774</v>
      </c>
      <c r="AN96" s="851">
        <v>138203</v>
      </c>
      <c r="AO96" s="851">
        <v>138644</v>
      </c>
      <c r="AP96" s="840">
        <v>146463</v>
      </c>
      <c r="AQ96" s="840">
        <v>144559</v>
      </c>
      <c r="AR96" s="769">
        <v>148845</v>
      </c>
    </row>
  </sheetData>
  <sheetProtection algorithmName="SHA-512" hashValue="9rAUBr8wB6lha12XUQe3MLZpp2pdMebEw9XImuzd7jCfkXckw+qbesBU97Q5O4AbadFZN/YrTXycRWMkvasXMA==" saltValue="AWLUO2IdkIOPF9+Cm/p8Cw==" spinCount="100000" sheet="1" objects="1" scenarios="1"/>
  <customSheetViews>
    <customSheetView guid="{06451E13-97D0-44F4-875B-E8D80B2F1CF1}" showPageBreaks="1" fitToPage="1" printArea="1" hiddenRows="1" hiddenColumns="1" view="pageBreakPreview">
      <pageMargins left="0" right="0" top="0" bottom="0" header="0" footer="0"/>
      <printOptions horizontalCentered="1" verticalCentered="1"/>
      <pageSetup paperSize="9" scale="77" orientation="landscape" r:id="rId1"/>
      <headerFooter scaleWithDoc="0" alignWithMargins="0">
        <oddFooter>&amp;C&amp;"Arial,標準"&amp;12 5</oddFooter>
      </headerFooter>
    </customSheetView>
  </customSheetViews>
  <mergeCells count="50">
    <mergeCell ref="AM5:AM7"/>
    <mergeCell ref="AE5:AE7"/>
    <mergeCell ref="AL5:AL7"/>
    <mergeCell ref="AJ5:AJ7"/>
    <mergeCell ref="AK5:AK7"/>
    <mergeCell ref="AI5:AI7"/>
    <mergeCell ref="AH5:AH7"/>
    <mergeCell ref="AG5:AG7"/>
    <mergeCell ref="AF5:AF7"/>
    <mergeCell ref="AU5:AU7"/>
    <mergeCell ref="AT5:AT7"/>
    <mergeCell ref="AS5:AS7"/>
    <mergeCell ref="AN5:AN7"/>
    <mergeCell ref="AR5:AR7"/>
    <mergeCell ref="AQ5:AQ7"/>
    <mergeCell ref="AP5:AP7"/>
    <mergeCell ref="AO5:AO7"/>
    <mergeCell ref="BC7:BD7"/>
    <mergeCell ref="BC5:BD5"/>
    <mergeCell ref="AV5:AV7"/>
    <mergeCell ref="AZ5:AZ7"/>
    <mergeCell ref="AY5:AY7"/>
    <mergeCell ref="AX5:AX7"/>
    <mergeCell ref="AW5:AW7"/>
    <mergeCell ref="BA5:BA7"/>
    <mergeCell ref="BB5:BB7"/>
    <mergeCell ref="N5:O6"/>
    <mergeCell ref="P5:Q6"/>
    <mergeCell ref="R5:S6"/>
    <mergeCell ref="T5:U6"/>
    <mergeCell ref="C5:C8"/>
    <mergeCell ref="D5:E6"/>
    <mergeCell ref="F5:G6"/>
    <mergeCell ref="H5:I6"/>
    <mergeCell ref="J5:K6"/>
    <mergeCell ref="L5:M6"/>
    <mergeCell ref="V53:Y53"/>
    <mergeCell ref="V54:Y54"/>
    <mergeCell ref="V51:W51"/>
    <mergeCell ref="Z6:AA6"/>
    <mergeCell ref="X5:Y6"/>
    <mergeCell ref="Z5:AA5"/>
    <mergeCell ref="V47:Y47"/>
    <mergeCell ref="V5:W6"/>
    <mergeCell ref="V48:Y48"/>
    <mergeCell ref="Z51:AA51"/>
    <mergeCell ref="V52:W52"/>
    <mergeCell ref="X52:Y52"/>
    <mergeCell ref="Z52:AA52"/>
    <mergeCell ref="X51:Y51"/>
  </mergeCells>
  <phoneticPr fontId="29"/>
  <hyperlinks>
    <hyperlink ref="AE75" r:id="rId2" display="\\10.51.3.13\財務部\10_担当業務\10_台数\ユーストカー\5_AA実績上半期・暦年資料\ユーストカー上半期・暦年実績（works-i用）"/>
  </hyperlinks>
  <printOptions horizontalCentered="1" verticalCentered="1"/>
  <pageMargins left="0" right="0" top="0" bottom="0" header="0" footer="0"/>
  <pageSetup paperSize="9" scale="79" orientation="landscape" r:id="rId3"/>
  <headerFooter scaleWithDoc="0" alignWithMargins="0">
    <oddFooter>&amp;C&amp;"Arial,標準"&amp;12 5</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438782" r:id="rId6" name="Button 62">
              <controlPr defaultSize="0" print="0" autoFill="0" autoPict="0" macro="[0]!Button_Run_SealType_Position">
                <anchor moveWithCells="1" sizeWithCells="1">
                  <from>
                    <xdr:col>21</xdr:col>
                    <xdr:colOff>57150</xdr:colOff>
                    <xdr:row>49</xdr:row>
                    <xdr:rowOff>142875</xdr:rowOff>
                  </from>
                  <to>
                    <xdr:col>22</xdr:col>
                    <xdr:colOff>400050</xdr:colOff>
                    <xdr:row>51</xdr:row>
                    <xdr:rowOff>0</xdr:rowOff>
                  </to>
                </anchor>
              </controlPr>
            </control>
          </mc:Choice>
        </mc:AlternateContent>
        <mc:AlternateContent xmlns:mc="http://schemas.openxmlformats.org/markup-compatibility/2006">
          <mc:Choice Requires="x14">
            <control shapeId="1438784" r:id="rId7" name="Button 64">
              <controlPr defaultSize="0" print="0" autoFill="0" autoPict="0" macro="[0]!Button_Run_SealType_Position">
                <anchor moveWithCells="1" sizeWithCells="1">
                  <from>
                    <xdr:col>23</xdr:col>
                    <xdr:colOff>85725</xdr:colOff>
                    <xdr:row>49</xdr:row>
                    <xdr:rowOff>142875</xdr:rowOff>
                  </from>
                  <to>
                    <xdr:col>24</xdr:col>
                    <xdr:colOff>428625</xdr:colOff>
                    <xdr:row>51</xdr:row>
                    <xdr:rowOff>9525</xdr:rowOff>
                  </to>
                </anchor>
              </controlPr>
            </control>
          </mc:Choice>
        </mc:AlternateContent>
        <mc:AlternateContent xmlns:mc="http://schemas.openxmlformats.org/markup-compatibility/2006">
          <mc:Choice Requires="x14">
            <control shapeId="1438785" r:id="rId8" name="Button 65">
              <controlPr defaultSize="0" print="0" autoFill="0" autoPict="0" macro="[0]!Button_Run_SealType_Position">
                <anchor moveWithCells="1" sizeWithCells="1">
                  <from>
                    <xdr:col>25</xdr:col>
                    <xdr:colOff>76200</xdr:colOff>
                    <xdr:row>49</xdr:row>
                    <xdr:rowOff>152400</xdr:rowOff>
                  </from>
                  <to>
                    <xdr:col>26</xdr:col>
                    <xdr:colOff>419100</xdr:colOff>
                    <xdr:row>51</xdr:row>
                    <xdr:rowOff>9525</xdr:rowOff>
                  </to>
                </anchor>
              </controlPr>
            </control>
          </mc:Choice>
        </mc:AlternateContent>
        <mc:AlternateContent xmlns:mc="http://schemas.openxmlformats.org/markup-compatibility/2006">
          <mc:Choice Requires="x14">
            <control shapeId="1438786" r:id="rId9" name="Button 66">
              <controlPr defaultSize="0" print="0" autoFill="0" autoPict="0" macro="[0]!Bulus">
                <anchor moveWithCells="1" sizeWithCells="1">
                  <from>
                    <xdr:col>27</xdr:col>
                    <xdr:colOff>400050</xdr:colOff>
                    <xdr:row>46</xdr:row>
                    <xdr:rowOff>123825</xdr:rowOff>
                  </from>
                  <to>
                    <xdr:col>28</xdr:col>
                    <xdr:colOff>742950</xdr:colOff>
                    <xdr:row>48</xdr:row>
                    <xdr:rowOff>66675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9" tint="0.39997558519241921"/>
    <pageSetUpPr fitToPage="1"/>
  </sheetPr>
  <dimension ref="A1:AC500"/>
  <sheetViews>
    <sheetView view="pageBreakPreview" zoomScale="85" zoomScaleNormal="80" zoomScaleSheetLayoutView="85" workbookViewId="0">
      <selection activeCell="A20" sqref="A20:XFD500"/>
    </sheetView>
  </sheetViews>
  <sheetFormatPr defaultColWidth="9.140625" defaultRowHeight="12.75"/>
  <cols>
    <col min="1" max="1" width="9.140625" style="1789"/>
    <col min="2" max="2" width="8.140625" style="1789" customWidth="1"/>
    <col min="3" max="3" width="15.85546875" style="1789" customWidth="1"/>
    <col min="4" max="4" width="12.85546875" style="1789" customWidth="1"/>
    <col min="5" max="5" width="0.85546875" style="1789" customWidth="1"/>
    <col min="6" max="6" width="9.7109375" style="1789" customWidth="1"/>
    <col min="7" max="7" width="2.140625" style="1789" customWidth="1"/>
    <col min="8" max="8" width="0.85546875" style="1789" customWidth="1"/>
    <col min="9" max="9" width="9.7109375" style="1789" customWidth="1"/>
    <col min="10" max="10" width="2.140625" style="1789" customWidth="1"/>
    <col min="11" max="11" width="0.85546875" style="1789" customWidth="1"/>
    <col min="12" max="12" width="9" style="1789" customWidth="1"/>
    <col min="13" max="13" width="2" style="1789" customWidth="1"/>
    <col min="14" max="14" width="0.140625" style="1789" customWidth="1"/>
    <col min="15" max="15" width="10.42578125" style="1789" customWidth="1"/>
    <col min="16" max="16" width="3.42578125" style="1789" customWidth="1"/>
    <col min="17" max="17" width="0.85546875" style="1789" customWidth="1"/>
    <col min="18" max="18" width="5.85546875" style="1789" customWidth="1"/>
    <col min="19" max="19" width="2.85546875" style="1789" customWidth="1"/>
    <col min="20" max="20" width="13" style="1789" customWidth="1"/>
    <col min="21" max="21" width="3.42578125" style="1789" customWidth="1"/>
    <col min="22" max="22" width="11.28515625" style="1789" customWidth="1"/>
    <col min="23" max="23" width="3.85546875" style="1789" customWidth="1"/>
    <col min="24" max="24" width="7.140625" style="1789" customWidth="1"/>
    <col min="25" max="25" width="8.140625" style="1789" customWidth="1"/>
    <col min="26" max="38" width="0" style="1789" hidden="1" customWidth="1"/>
    <col min="39" max="16384" width="9.140625" style="1789"/>
  </cols>
  <sheetData>
    <row r="1" spans="1:29" ht="41.25" customHeight="1"/>
    <row r="2" spans="1:29" s="769" customFormat="1" ht="19.5" customHeight="1">
      <c r="A2" s="779"/>
      <c r="B2" s="780"/>
      <c r="C2" s="781"/>
      <c r="D2" s="781"/>
      <c r="E2" s="781"/>
      <c r="F2" s="779"/>
      <c r="G2" s="779"/>
      <c r="H2" s="779"/>
      <c r="I2" s="779"/>
      <c r="J2" s="779"/>
      <c r="K2" s="779"/>
      <c r="L2" s="779"/>
      <c r="M2" s="779"/>
      <c r="N2" s="779"/>
      <c r="O2" s="779"/>
      <c r="P2" s="779"/>
      <c r="Q2" s="779"/>
      <c r="R2" s="779"/>
      <c r="S2" s="779"/>
      <c r="T2" s="779"/>
      <c r="U2" s="779"/>
      <c r="V2" s="779"/>
      <c r="W2" s="779"/>
      <c r="X2" s="779"/>
      <c r="Y2" s="779"/>
      <c r="AB2" s="1789"/>
      <c r="AC2" s="1789"/>
    </row>
    <row r="3" spans="1:29" s="769" customFormat="1" ht="6.75" customHeight="1">
      <c r="A3" s="779"/>
      <c r="B3" s="779"/>
      <c r="C3" s="779"/>
      <c r="D3" s="779"/>
      <c r="E3" s="779"/>
      <c r="F3" s="779"/>
      <c r="G3" s="779"/>
      <c r="H3" s="779"/>
      <c r="I3" s="779"/>
      <c r="J3" s="779"/>
      <c r="K3" s="779"/>
      <c r="L3" s="779"/>
      <c r="M3" s="779"/>
      <c r="N3" s="779"/>
      <c r="O3" s="779"/>
      <c r="P3" s="779"/>
      <c r="Q3" s="779"/>
      <c r="R3" s="779"/>
      <c r="S3" s="779"/>
      <c r="T3" s="779"/>
      <c r="U3" s="779"/>
      <c r="V3" s="779"/>
      <c r="W3" s="779"/>
      <c r="X3" s="779"/>
      <c r="Y3" s="779"/>
      <c r="AB3" s="1789"/>
      <c r="AC3" s="1789"/>
    </row>
    <row r="4" spans="1:29" ht="13.5" customHeight="1">
      <c r="B4" s="668"/>
      <c r="C4" s="668"/>
      <c r="D4" s="668"/>
      <c r="E4" s="668"/>
      <c r="F4" s="668"/>
      <c r="G4" s="668"/>
      <c r="H4" s="668"/>
      <c r="I4" s="668"/>
      <c r="J4" s="668"/>
      <c r="K4" s="668"/>
      <c r="L4" s="668"/>
      <c r="M4" s="668"/>
      <c r="N4" s="668"/>
      <c r="O4" s="668"/>
      <c r="P4" s="668"/>
      <c r="Q4" s="668"/>
      <c r="R4" s="668"/>
      <c r="S4" s="668"/>
      <c r="T4" s="668"/>
      <c r="U4" s="668"/>
      <c r="V4" s="668"/>
      <c r="W4" s="668"/>
      <c r="X4" s="1798" t="s">
        <v>1554</v>
      </c>
      <c r="Y4" s="783"/>
    </row>
    <row r="5" spans="1:29" ht="30.75" customHeight="1">
      <c r="B5" s="2079" t="s">
        <v>1583</v>
      </c>
      <c r="C5" s="2347" t="s">
        <v>550</v>
      </c>
      <c r="D5" s="2348"/>
      <c r="E5" s="2344" t="s">
        <v>551</v>
      </c>
      <c r="F5" s="2344"/>
      <c r="G5" s="2344"/>
      <c r="H5" s="2344"/>
      <c r="I5" s="2344"/>
      <c r="J5" s="2344"/>
      <c r="K5" s="2344"/>
      <c r="L5" s="2344"/>
      <c r="M5" s="2344"/>
      <c r="N5" s="2344" t="s">
        <v>552</v>
      </c>
      <c r="O5" s="2344"/>
      <c r="P5" s="2344"/>
      <c r="Q5" s="2344" t="s">
        <v>553</v>
      </c>
      <c r="R5" s="2344"/>
      <c r="S5" s="2344"/>
      <c r="T5" s="2344" t="s">
        <v>554</v>
      </c>
      <c r="U5" s="2344" t="s">
        <v>555</v>
      </c>
      <c r="V5" s="2344"/>
      <c r="W5" s="2344"/>
      <c r="X5" s="2079" t="s">
        <v>1584</v>
      </c>
    </row>
    <row r="6" spans="1:29" ht="30.75" customHeight="1">
      <c r="B6" s="784" t="s">
        <v>1588</v>
      </c>
      <c r="C6" s="2349"/>
      <c r="D6" s="2350"/>
      <c r="E6" s="2346">
        <v>2025</v>
      </c>
      <c r="F6" s="2346"/>
      <c r="G6" s="2346"/>
      <c r="H6" s="2346">
        <v>2024</v>
      </c>
      <c r="I6" s="2345"/>
      <c r="J6" s="2345"/>
      <c r="K6" s="2345" t="s">
        <v>556</v>
      </c>
      <c r="L6" s="2345"/>
      <c r="M6" s="2345"/>
      <c r="N6" s="2345"/>
      <c r="O6" s="2345"/>
      <c r="P6" s="2345"/>
      <c r="Q6" s="2345"/>
      <c r="R6" s="2345"/>
      <c r="S6" s="2345"/>
      <c r="T6" s="2351"/>
      <c r="U6" s="2345"/>
      <c r="V6" s="2345"/>
      <c r="W6" s="2345"/>
      <c r="X6" s="2077" t="s">
        <v>1585</v>
      </c>
    </row>
    <row r="7" spans="1:29" ht="31.5" customHeight="1">
      <c r="B7" s="1825" t="s">
        <v>1501</v>
      </c>
      <c r="C7" s="2340" t="s">
        <v>1258</v>
      </c>
      <c r="D7" s="2340"/>
      <c r="E7" s="1826"/>
      <c r="F7" s="1827">
        <v>869357</v>
      </c>
      <c r="G7" s="1828"/>
      <c r="H7" s="1828"/>
      <c r="I7" s="1827">
        <v>774463</v>
      </c>
      <c r="J7" s="1828"/>
      <c r="K7" s="1828"/>
      <c r="L7" s="1829">
        <f>(ROUND(F7/I7,3)-1)*100</f>
        <v>12.3</v>
      </c>
      <c r="M7" s="1830"/>
      <c r="N7" s="1830"/>
      <c r="O7" s="1827">
        <v>586328</v>
      </c>
      <c r="P7" s="1828"/>
      <c r="Q7" s="1828"/>
      <c r="R7" s="1829">
        <v>67.400000000000006</v>
      </c>
      <c r="S7" s="1830"/>
      <c r="T7" s="2100">
        <v>1676</v>
      </c>
      <c r="U7" s="1828"/>
      <c r="V7" s="1827">
        <v>17742</v>
      </c>
      <c r="W7" s="1828"/>
      <c r="X7" s="1825" t="s">
        <v>58</v>
      </c>
      <c r="Z7" s="785">
        <f t="shared" ref="Z7:Z11" si="0">O7/F7</f>
        <v>0.67443869434536097</v>
      </c>
    </row>
    <row r="8" spans="1:29" ht="31.5" customHeight="1">
      <c r="B8" s="1831" t="s">
        <v>170</v>
      </c>
      <c r="C8" s="2336" t="s">
        <v>1259</v>
      </c>
      <c r="D8" s="2336"/>
      <c r="E8" s="1832"/>
      <c r="F8" s="1833">
        <v>525707</v>
      </c>
      <c r="G8" s="1834"/>
      <c r="H8" s="1834"/>
      <c r="I8" s="1833">
        <v>477655</v>
      </c>
      <c r="J8" s="1834"/>
      <c r="K8" s="1834"/>
      <c r="L8" s="1835">
        <f t="shared" ref="L8:L16" si="1">(ROUND(F8/I8,3)-1)*100</f>
        <v>10.099999999999998</v>
      </c>
      <c r="M8" s="1836"/>
      <c r="N8" s="1836"/>
      <c r="O8" s="1833">
        <v>325941</v>
      </c>
      <c r="P8" s="1834"/>
      <c r="Q8" s="1834"/>
      <c r="R8" s="1835">
        <v>62</v>
      </c>
      <c r="S8" s="1836"/>
      <c r="T8" s="2101">
        <v>1861</v>
      </c>
      <c r="U8" s="1834"/>
      <c r="V8" s="1833">
        <v>10729</v>
      </c>
      <c r="W8" s="1834"/>
      <c r="X8" s="1831" t="s">
        <v>170</v>
      </c>
      <c r="Z8" s="785">
        <f t="shared" si="0"/>
        <v>0.62000505985273169</v>
      </c>
    </row>
    <row r="9" spans="1:29" ht="31.5" customHeight="1">
      <c r="B9" s="1837" t="s">
        <v>171</v>
      </c>
      <c r="C9" s="2341" t="s">
        <v>673</v>
      </c>
      <c r="D9" s="2341"/>
      <c r="E9" s="1838"/>
      <c r="F9" s="1839">
        <v>357941</v>
      </c>
      <c r="G9" s="1840"/>
      <c r="H9" s="1840"/>
      <c r="I9" s="1839">
        <v>307962</v>
      </c>
      <c r="J9" s="1840"/>
      <c r="K9" s="1840"/>
      <c r="L9" s="1841">
        <f t="shared" si="1"/>
        <v>16.199999999999992</v>
      </c>
      <c r="M9" s="1842"/>
      <c r="N9" s="1842"/>
      <c r="O9" s="1839">
        <v>233901</v>
      </c>
      <c r="P9" s="1840"/>
      <c r="Q9" s="1840"/>
      <c r="R9" s="1841">
        <v>65.3</v>
      </c>
      <c r="S9" s="1842"/>
      <c r="T9" s="2102">
        <v>1296</v>
      </c>
      <c r="U9" s="1840"/>
      <c r="V9" s="1839">
        <v>7305</v>
      </c>
      <c r="W9" s="1840"/>
      <c r="X9" s="1837" t="s">
        <v>171</v>
      </c>
      <c r="Z9" s="785">
        <f t="shared" si="0"/>
        <v>0.65346244213431826</v>
      </c>
    </row>
    <row r="10" spans="1:29" ht="31.5" customHeight="1">
      <c r="B10" s="1837" t="s">
        <v>1570</v>
      </c>
      <c r="C10" s="2341" t="s">
        <v>1419</v>
      </c>
      <c r="D10" s="2341"/>
      <c r="E10" s="1838"/>
      <c r="F10" s="1839">
        <v>260516</v>
      </c>
      <c r="G10" s="1840"/>
      <c r="H10" s="1840"/>
      <c r="I10" s="1839">
        <v>231685</v>
      </c>
      <c r="J10" s="1840"/>
      <c r="K10" s="1840"/>
      <c r="L10" s="1841">
        <f t="shared" si="1"/>
        <v>12.400000000000011</v>
      </c>
      <c r="M10" s="1842"/>
      <c r="N10" s="1842"/>
      <c r="O10" s="1839">
        <v>194948</v>
      </c>
      <c r="P10" s="1840"/>
      <c r="Q10" s="1840"/>
      <c r="R10" s="1841">
        <v>74.8</v>
      </c>
      <c r="S10" s="1842"/>
      <c r="T10" s="2102">
        <v>1040</v>
      </c>
      <c r="U10" s="1840"/>
      <c r="V10" s="1839">
        <v>5317</v>
      </c>
      <c r="W10" s="1840"/>
      <c r="X10" s="1837" t="s">
        <v>1418</v>
      </c>
      <c r="Z10" s="785">
        <f t="shared" si="0"/>
        <v>0.7483148827711158</v>
      </c>
    </row>
    <row r="11" spans="1:29" ht="31.5" customHeight="1">
      <c r="B11" s="2120" t="s">
        <v>1581</v>
      </c>
      <c r="C11" s="2343" t="s">
        <v>1582</v>
      </c>
      <c r="D11" s="2343"/>
      <c r="E11" s="2036"/>
      <c r="F11" s="2037">
        <v>254401</v>
      </c>
      <c r="G11" s="2038"/>
      <c r="H11" s="2038"/>
      <c r="I11" s="2037">
        <v>229623</v>
      </c>
      <c r="J11" s="2038"/>
      <c r="K11" s="2038"/>
      <c r="L11" s="2039">
        <f t="shared" si="1"/>
        <v>10.80000000000001</v>
      </c>
      <c r="M11" s="2040"/>
      <c r="N11" s="2041"/>
      <c r="O11" s="2037">
        <v>127161</v>
      </c>
      <c r="P11" s="2038"/>
      <c r="Q11" s="2038"/>
      <c r="R11" s="2039">
        <v>50</v>
      </c>
      <c r="S11" s="2041"/>
      <c r="T11" s="2103">
        <v>673</v>
      </c>
      <c r="U11" s="2038"/>
      <c r="V11" s="2037">
        <v>5300</v>
      </c>
      <c r="W11" s="2038"/>
      <c r="X11" s="2035" t="s">
        <v>1557</v>
      </c>
      <c r="Z11" s="785">
        <f t="shared" si="0"/>
        <v>0.49984473331472756</v>
      </c>
    </row>
    <row r="12" spans="1:29" ht="31.5" customHeight="1">
      <c r="B12" s="1837" t="s">
        <v>430</v>
      </c>
      <c r="C12" s="2342" t="s">
        <v>701</v>
      </c>
      <c r="D12" s="2342"/>
      <c r="E12" s="1838"/>
      <c r="F12" s="1839">
        <v>250395</v>
      </c>
      <c r="G12" s="1840"/>
      <c r="H12" s="1840"/>
      <c r="I12" s="1839">
        <v>235074</v>
      </c>
      <c r="J12" s="1840"/>
      <c r="K12" s="1840"/>
      <c r="L12" s="1841">
        <f t="shared" si="1"/>
        <v>6.4999999999999947</v>
      </c>
      <c r="M12" s="1842"/>
      <c r="N12" s="1842"/>
      <c r="O12" s="1839">
        <v>159954</v>
      </c>
      <c r="P12" s="1840"/>
      <c r="Q12" s="1840"/>
      <c r="R12" s="1841">
        <v>63.9</v>
      </c>
      <c r="S12" s="1842"/>
      <c r="T12" s="2102">
        <v>1185</v>
      </c>
      <c r="U12" s="1840"/>
      <c r="V12" s="1839">
        <v>5110</v>
      </c>
      <c r="W12" s="1840"/>
      <c r="X12" s="1837" t="s">
        <v>1556</v>
      </c>
      <c r="Z12" s="785">
        <f>O12/F12</f>
        <v>0.63880668543700958</v>
      </c>
    </row>
    <row r="13" spans="1:29" ht="31.5" customHeight="1">
      <c r="B13" s="2042" t="s">
        <v>1571</v>
      </c>
      <c r="C13" s="2337" t="s">
        <v>1420</v>
      </c>
      <c r="D13" s="2337"/>
      <c r="E13" s="2043"/>
      <c r="F13" s="2044">
        <v>233310</v>
      </c>
      <c r="G13" s="2045"/>
      <c r="H13" s="2045"/>
      <c r="I13" s="2044">
        <v>216315</v>
      </c>
      <c r="J13" s="2045"/>
      <c r="K13" s="2045"/>
      <c r="L13" s="2046">
        <f t="shared" si="1"/>
        <v>7.8999999999999959</v>
      </c>
      <c r="M13" s="2047"/>
      <c r="N13" s="2047"/>
      <c r="O13" s="2044">
        <v>180071</v>
      </c>
      <c r="P13" s="2045"/>
      <c r="Q13" s="2045"/>
      <c r="R13" s="2046">
        <v>77.2</v>
      </c>
      <c r="S13" s="2047"/>
      <c r="T13" s="2104">
        <v>932</v>
      </c>
      <c r="U13" s="2045"/>
      <c r="V13" s="2044">
        <v>4861</v>
      </c>
      <c r="W13" s="2045"/>
      <c r="X13" s="2042" t="s">
        <v>1586</v>
      </c>
      <c r="Z13" s="785">
        <f>O13/F13</f>
        <v>0.77181003814667182</v>
      </c>
    </row>
    <row r="14" spans="1:29" ht="31.5" customHeight="1">
      <c r="B14" s="2120" t="s">
        <v>1572</v>
      </c>
      <c r="C14" s="2338" t="s">
        <v>1421</v>
      </c>
      <c r="D14" s="2338"/>
      <c r="E14" s="2111"/>
      <c r="F14" s="2115">
        <v>229268</v>
      </c>
      <c r="G14" s="2112"/>
      <c r="H14" s="2112"/>
      <c r="I14" s="2115">
        <v>218450</v>
      </c>
      <c r="J14" s="2116"/>
      <c r="K14" s="2112"/>
      <c r="L14" s="2117">
        <f t="shared" si="1"/>
        <v>5.0000000000000044</v>
      </c>
      <c r="M14" s="2113"/>
      <c r="N14" s="2113"/>
      <c r="O14" s="2115">
        <v>158534</v>
      </c>
      <c r="P14" s="2116"/>
      <c r="Q14" s="2116"/>
      <c r="R14" s="2117">
        <v>69.099999999999994</v>
      </c>
      <c r="S14" s="2118"/>
      <c r="T14" s="2119">
        <v>1008</v>
      </c>
      <c r="U14" s="2116"/>
      <c r="V14" s="2115">
        <v>4776</v>
      </c>
      <c r="W14" s="2116"/>
      <c r="X14" s="2120" t="s">
        <v>1558</v>
      </c>
      <c r="Z14" s="785">
        <f>O14/F14</f>
        <v>0.6914789678454909</v>
      </c>
    </row>
    <row r="15" spans="1:29" ht="31.5" customHeight="1">
      <c r="B15" s="2125" t="s">
        <v>431</v>
      </c>
      <c r="C15" s="2336" t="s">
        <v>685</v>
      </c>
      <c r="D15" s="2336"/>
      <c r="E15" s="2109"/>
      <c r="F15" s="2114">
        <v>224382</v>
      </c>
      <c r="G15" s="2110"/>
      <c r="H15" s="2110"/>
      <c r="I15" s="2114">
        <v>205328</v>
      </c>
      <c r="J15" s="2121"/>
      <c r="K15" s="2121"/>
      <c r="L15" s="2122">
        <f t="shared" si="1"/>
        <v>9.2999999999999972</v>
      </c>
      <c r="M15" s="2123"/>
      <c r="N15" s="2123"/>
      <c r="O15" s="2114">
        <v>128737</v>
      </c>
      <c r="P15" s="2121"/>
      <c r="Q15" s="2121"/>
      <c r="R15" s="2122">
        <v>57.4</v>
      </c>
      <c r="S15" s="2123"/>
      <c r="T15" s="2124">
        <v>1057</v>
      </c>
      <c r="U15" s="2121"/>
      <c r="V15" s="2114">
        <v>4579</v>
      </c>
      <c r="W15" s="2121"/>
      <c r="X15" s="2125" t="s">
        <v>1587</v>
      </c>
      <c r="Z15" s="785">
        <f>O15/F15</f>
        <v>0.57374031785080803</v>
      </c>
    </row>
    <row r="16" spans="1:29" ht="31.5" customHeight="1">
      <c r="B16" s="1843" t="s">
        <v>0</v>
      </c>
      <c r="C16" s="2339" t="s">
        <v>1502</v>
      </c>
      <c r="D16" s="2339"/>
      <c r="E16" s="1844"/>
      <c r="F16" s="1845">
        <v>181857</v>
      </c>
      <c r="G16" s="1846"/>
      <c r="H16" s="1846"/>
      <c r="I16" s="1845">
        <v>174904</v>
      </c>
      <c r="J16" s="1846"/>
      <c r="K16" s="1846"/>
      <c r="L16" s="1847">
        <f t="shared" si="1"/>
        <v>4.0000000000000036</v>
      </c>
      <c r="M16" s="1848"/>
      <c r="N16" s="1848"/>
      <c r="O16" s="1845">
        <v>140291</v>
      </c>
      <c r="P16" s="1846"/>
      <c r="Q16" s="1846"/>
      <c r="R16" s="1847">
        <v>77.099999999999994</v>
      </c>
      <c r="S16" s="1848"/>
      <c r="T16" s="2105">
        <v>479</v>
      </c>
      <c r="U16" s="1846"/>
      <c r="V16" s="1845">
        <v>3711</v>
      </c>
      <c r="W16" s="1846"/>
      <c r="X16" s="1843" t="s">
        <v>1559</v>
      </c>
      <c r="Z16" s="785">
        <f>O16/F16</f>
        <v>0.77143579845702948</v>
      </c>
    </row>
    <row r="17" spans="2:2" ht="18" customHeight="1">
      <c r="B17" s="1786"/>
    </row>
    <row r="18" spans="2:2" ht="9.75" customHeight="1">
      <c r="B18" s="668"/>
    </row>
    <row r="19" spans="2:2" ht="55.5" customHeight="1"/>
    <row r="20" spans="2:2" ht="18.75" hidden="1" customHeight="1"/>
    <row r="21" spans="2:2" ht="16.5" hidden="1">
      <c r="B21" s="769" t="s">
        <v>688</v>
      </c>
    </row>
    <row r="22" spans="2:2" ht="16.5" hidden="1">
      <c r="B22" s="668" t="s">
        <v>689</v>
      </c>
    </row>
    <row r="23" spans="2:2" ht="16.5" hidden="1">
      <c r="B23" s="668" t="s">
        <v>690</v>
      </c>
    </row>
    <row r="24" spans="2:2" ht="16.5" hidden="1">
      <c r="B24" s="668" t="s">
        <v>691</v>
      </c>
    </row>
    <row r="25" spans="2:2" ht="16.5" hidden="1">
      <c r="B25" s="668" t="s">
        <v>692</v>
      </c>
    </row>
    <row r="26" spans="2:2" ht="16.5" hidden="1">
      <c r="B26" s="668" t="s">
        <v>693</v>
      </c>
    </row>
    <row r="27" spans="2:2" ht="16.5" hidden="1">
      <c r="B27" s="668" t="s">
        <v>694</v>
      </c>
    </row>
    <row r="28" spans="2:2" hidden="1">
      <c r="B28" s="668"/>
    </row>
    <row r="29" spans="2:2" ht="16.5" hidden="1">
      <c r="B29" s="668" t="s">
        <v>695</v>
      </c>
    </row>
    <row r="30" spans="2:2" hidden="1"/>
    <row r="31" spans="2:2" ht="16.5" hidden="1">
      <c r="B31" s="669" t="s">
        <v>696</v>
      </c>
    </row>
    <row r="32" spans="2:2" ht="16.5" hidden="1">
      <c r="B32" s="669" t="s">
        <v>697</v>
      </c>
    </row>
    <row r="33" spans="2:24" hidden="1">
      <c r="B33" s="965" t="s">
        <v>1750</v>
      </c>
    </row>
    <row r="34" spans="2:24" ht="16.5" hidden="1">
      <c r="B34" s="786" t="s">
        <v>665</v>
      </c>
      <c r="C34" s="787"/>
      <c r="D34" s="1987" t="s">
        <v>1579</v>
      </c>
      <c r="E34" s="788"/>
      <c r="F34" s="788"/>
      <c r="G34" s="788"/>
      <c r="H34" s="788"/>
      <c r="I34" s="788"/>
      <c r="J34" s="788"/>
      <c r="K34" s="788"/>
      <c r="L34" s="788"/>
      <c r="M34" s="788"/>
      <c r="N34" s="788"/>
      <c r="O34" s="788"/>
      <c r="P34" s="788"/>
      <c r="Q34" s="788"/>
      <c r="R34" s="788"/>
      <c r="S34" s="788"/>
      <c r="T34" s="788"/>
      <c r="U34" s="788"/>
      <c r="V34" s="788"/>
      <c r="W34" s="788"/>
      <c r="X34" s="789"/>
    </row>
    <row r="35" spans="2:24" ht="16.5" hidden="1">
      <c r="B35" s="790" t="s">
        <v>698</v>
      </c>
      <c r="C35" s="1791"/>
      <c r="D35" s="1791"/>
      <c r="E35" s="1791"/>
      <c r="F35" s="1791"/>
      <c r="G35" s="1791"/>
      <c r="H35" s="1791"/>
      <c r="I35" s="1791"/>
      <c r="J35" s="1791"/>
      <c r="K35" s="1791"/>
      <c r="L35" s="1791"/>
      <c r="M35" s="1791"/>
      <c r="N35" s="1791"/>
      <c r="O35" s="1791"/>
      <c r="P35" s="1791"/>
      <c r="Q35" s="1791"/>
      <c r="R35" s="1791"/>
      <c r="S35" s="1791"/>
      <c r="T35" s="1791"/>
      <c r="U35" s="1791"/>
      <c r="V35" s="1791"/>
      <c r="W35" s="1791"/>
      <c r="X35" s="791"/>
    </row>
    <row r="36" spans="2:24" hidden="1">
      <c r="C36" s="792"/>
    </row>
    <row r="37" spans="2:24" hidden="1">
      <c r="C37" s="792"/>
    </row>
    <row r="38" spans="2:24" hidden="1"/>
    <row r="39" spans="2:24" hidden="1"/>
    <row r="40" spans="2:24" hidden="1"/>
    <row r="41" spans="2:24" hidden="1"/>
    <row r="42" spans="2:24" hidden="1"/>
    <row r="43" spans="2:24" hidden="1"/>
    <row r="44" spans="2:24" hidden="1"/>
    <row r="45" spans="2:24" hidden="1"/>
    <row r="46" spans="2:24" hidden="1"/>
    <row r="47" spans="2:24" hidden="1"/>
    <row r="48" spans="2:24"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sheetData>
  <sheetProtection algorithmName="SHA-512" hashValue="CUZ7bl7xMKUR9D341fke6uvKY5hbpS2aCZnpWgHrFlAK8X3SxhKE8BVDs1AepDMqiVRhsYJj0q/dA+E2PZqV+Q==" saltValue="tjqHRa7X94an8gOb3nxd+Q==" spinCount="100000" sheet="1" objects="1" scenarios="1"/>
  <customSheetViews>
    <customSheetView guid="{06451E13-97D0-44F4-875B-E8D80B2F1CF1}" showPageBreaks="1" fitToPage="1" printArea="1" view="pageBreakPreview">
      <selection activeCell="C7" sqref="C7:D7"/>
      <pageMargins left="0" right="0" top="0" bottom="0" header="0" footer="0"/>
      <printOptions horizontalCentered="1" verticalCentered="1"/>
      <pageSetup paperSize="9" orientation="landscape" r:id="rId1"/>
      <headerFooter scaleWithDoc="0" alignWithMargins="0">
        <oddFooter>&amp;C&amp;"Arial,標準"&amp;12 6</oddFooter>
      </headerFooter>
    </customSheetView>
  </customSheetViews>
  <mergeCells count="19">
    <mergeCell ref="U5:W6"/>
    <mergeCell ref="E6:G6"/>
    <mergeCell ref="H6:J6"/>
    <mergeCell ref="K6:M6"/>
    <mergeCell ref="C5:D6"/>
    <mergeCell ref="E5:M5"/>
    <mergeCell ref="N5:P6"/>
    <mergeCell ref="Q5:S6"/>
    <mergeCell ref="T5:T6"/>
    <mergeCell ref="C15:D15"/>
    <mergeCell ref="C13:D13"/>
    <mergeCell ref="C14:D14"/>
    <mergeCell ref="C16:D16"/>
    <mergeCell ref="C7:D7"/>
    <mergeCell ref="C8:D8"/>
    <mergeCell ref="C9:D9"/>
    <mergeCell ref="C12:D12"/>
    <mergeCell ref="C10:D10"/>
    <mergeCell ref="C11:D11"/>
  </mergeCells>
  <phoneticPr fontId="29"/>
  <hyperlinks>
    <hyperlink ref="D34" r:id="rId2" display="\\10.51.3.13\財務部\10_担当業務\10_台数\ユーストカー\5_AA実績上半期・暦年資料\ユーストカー上半期・暦年実績（works-i用）"/>
  </hyperlinks>
  <printOptions horizontalCentered="1" verticalCentered="1"/>
  <pageMargins left="0" right="0" top="0" bottom="0" header="0" footer="0"/>
  <pageSetup paperSize="9" orientation="landscape" r:id="rId3"/>
  <headerFooter scaleWithDoc="0" alignWithMargins="0">
    <oddFooter>&amp;C&amp;"Arial,標準"&amp;12 6</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39997558519241921"/>
    <pageSetUpPr fitToPage="1"/>
  </sheetPr>
  <dimension ref="A1:AO39"/>
  <sheetViews>
    <sheetView view="pageBreakPreview" zoomScale="70" zoomScaleNormal="85" zoomScaleSheetLayoutView="70" workbookViewId="0">
      <selection activeCell="Z1" sqref="Z1:AQ1048576"/>
    </sheetView>
  </sheetViews>
  <sheetFormatPr defaultColWidth="9.140625" defaultRowHeight="12.75"/>
  <cols>
    <col min="1" max="1" width="11.5703125" style="2016" customWidth="1"/>
    <col min="2" max="2" width="7" style="2016" customWidth="1"/>
    <col min="3" max="3" width="17" style="2016" customWidth="1"/>
    <col min="4" max="4" width="8.140625" style="2016" customWidth="1"/>
    <col min="5" max="5" width="1.42578125" style="2016" customWidth="1"/>
    <col min="6" max="6" width="10.85546875" style="2016" customWidth="1"/>
    <col min="7" max="7" width="0.42578125" style="2016" customWidth="1"/>
    <col min="8" max="8" width="11.140625" style="2016" customWidth="1"/>
    <col min="9" max="9" width="4.5703125" style="2016" customWidth="1"/>
    <col min="10" max="10" width="6.85546875" style="2016" customWidth="1"/>
    <col min="11" max="11" width="17" style="2016" customWidth="1"/>
    <col min="12" max="12" width="8.140625" style="2016" customWidth="1"/>
    <col min="13" max="13" width="0.5703125" style="2016" customWidth="1"/>
    <col min="14" max="14" width="10.140625" style="2016" customWidth="1"/>
    <col min="15" max="15" width="1.85546875" style="2016" customWidth="1"/>
    <col min="16" max="16" width="11.140625" style="2016" customWidth="1"/>
    <col min="17" max="17" width="4.5703125" style="2016" customWidth="1"/>
    <col min="18" max="18" width="7.140625" style="2016" customWidth="1"/>
    <col min="19" max="19" width="17" style="2016" customWidth="1"/>
    <col min="20" max="20" width="7.85546875" style="2016" customWidth="1"/>
    <col min="21" max="21" width="0.5703125" style="2016" customWidth="1"/>
    <col min="22" max="22" width="10.85546875" style="2016" customWidth="1"/>
    <col min="23" max="23" width="0.42578125" style="2016" customWidth="1"/>
    <col min="24" max="24" width="11.42578125" style="2016" customWidth="1"/>
    <col min="25" max="25" width="12.140625" style="2016" customWidth="1"/>
    <col min="26" max="26" width="0" style="2016" hidden="1" customWidth="1"/>
    <col min="27" max="27" width="29" style="2016" hidden="1" customWidth="1"/>
    <col min="28" max="28" width="23" style="2016" hidden="1" customWidth="1"/>
    <col min="29" max="29" width="9.140625" style="2016" hidden="1" customWidth="1"/>
    <col min="30" max="30" width="0" style="2016" hidden="1" customWidth="1"/>
    <col min="31" max="31" width="37.5703125" style="2016" hidden="1" customWidth="1"/>
    <col min="32" max="43" width="0" style="2016" hidden="1" customWidth="1"/>
    <col min="44" max="16384" width="9.140625" style="2016"/>
  </cols>
  <sheetData>
    <row r="1" spans="1:41" ht="57.75" customHeight="1">
      <c r="A1" s="2018"/>
      <c r="B1" s="2018"/>
      <c r="C1" s="2018"/>
      <c r="D1" s="2018"/>
      <c r="E1" s="2018"/>
      <c r="F1" s="2018"/>
      <c r="G1" s="2018"/>
      <c r="H1" s="2018"/>
      <c r="I1" s="2018"/>
      <c r="J1" s="2018"/>
      <c r="K1" s="2018"/>
      <c r="L1" s="2018"/>
      <c r="M1" s="2018"/>
      <c r="N1" s="2018"/>
      <c r="O1" s="2018"/>
      <c r="P1" s="2018"/>
      <c r="Q1" s="2018"/>
      <c r="R1" s="2018"/>
      <c r="S1" s="2018"/>
      <c r="T1" s="2018"/>
      <c r="U1" s="2018"/>
      <c r="V1" s="2018"/>
      <c r="W1" s="2018"/>
      <c r="X1" s="2018"/>
      <c r="Y1" s="2018"/>
    </row>
    <row r="2" spans="1:41" s="769" customFormat="1" ht="19.5" customHeight="1">
      <c r="A2" s="999"/>
      <c r="B2" s="1000"/>
      <c r="C2" s="1000"/>
      <c r="D2" s="1000"/>
      <c r="E2" s="1000"/>
      <c r="F2" s="999"/>
      <c r="G2" s="999"/>
      <c r="H2" s="999"/>
      <c r="I2" s="999"/>
      <c r="J2" s="1000"/>
      <c r="K2" s="1000"/>
      <c r="L2" s="1000"/>
      <c r="M2" s="1000"/>
      <c r="N2" s="999"/>
      <c r="O2" s="999"/>
      <c r="P2" s="999"/>
      <c r="Q2" s="999"/>
      <c r="R2" s="1000"/>
      <c r="S2" s="1000"/>
      <c r="T2" s="1000"/>
      <c r="U2" s="1000"/>
      <c r="V2" s="999"/>
      <c r="W2" s="999"/>
      <c r="X2" s="999"/>
      <c r="Y2" s="999"/>
    </row>
    <row r="3" spans="1:41" s="769" customFormat="1" ht="14.25" customHeight="1">
      <c r="A3" s="999"/>
      <c r="B3" s="999"/>
      <c r="C3" s="999"/>
      <c r="D3" s="999"/>
      <c r="E3" s="999"/>
      <c r="F3" s="999"/>
      <c r="G3" s="999"/>
      <c r="H3" s="999"/>
      <c r="I3" s="999"/>
      <c r="J3" s="999"/>
      <c r="K3" s="999"/>
      <c r="L3" s="999"/>
      <c r="M3" s="999"/>
      <c r="N3" s="999"/>
      <c r="O3" s="999"/>
      <c r="P3" s="999"/>
      <c r="Q3" s="999"/>
      <c r="R3" s="999"/>
      <c r="S3" s="999"/>
      <c r="T3" s="999"/>
      <c r="U3" s="999"/>
      <c r="V3" s="999"/>
      <c r="W3" s="999"/>
      <c r="X3" s="999"/>
      <c r="Y3" s="999"/>
    </row>
    <row r="4" spans="1:41" ht="25.5" customHeight="1">
      <c r="A4" s="2018"/>
      <c r="B4" s="2018"/>
      <c r="C4" s="2018"/>
      <c r="D4" s="2018"/>
      <c r="E4" s="2018"/>
      <c r="F4" s="2018"/>
      <c r="G4" s="2018"/>
      <c r="H4" s="2018"/>
      <c r="I4" s="2018"/>
      <c r="J4" s="2018"/>
      <c r="K4" s="2018"/>
      <c r="L4" s="2018"/>
      <c r="M4" s="2018"/>
      <c r="N4" s="2018"/>
      <c r="O4" s="2018"/>
      <c r="P4" s="2018"/>
      <c r="Q4" s="2018"/>
      <c r="R4" s="2018"/>
      <c r="S4" s="2018"/>
      <c r="T4" s="2018"/>
      <c r="U4" s="2018"/>
      <c r="V4" s="2018"/>
      <c r="W4" s="2018"/>
      <c r="X4" s="1001" t="s">
        <v>652</v>
      </c>
      <c r="Y4" s="2018"/>
      <c r="AA4" s="965" t="s">
        <v>653</v>
      </c>
    </row>
    <row r="5" spans="1:41" ht="17.100000000000001" customHeight="1">
      <c r="A5" s="2018"/>
      <c r="B5" s="2361" t="s">
        <v>654</v>
      </c>
      <c r="C5" s="2362"/>
      <c r="D5" s="2362"/>
      <c r="E5" s="2362"/>
      <c r="F5" s="2362"/>
      <c r="G5" s="2362"/>
      <c r="H5" s="2363"/>
      <c r="I5" s="1002"/>
      <c r="J5" s="2361" t="s">
        <v>678</v>
      </c>
      <c r="K5" s="2362"/>
      <c r="L5" s="2362"/>
      <c r="M5" s="2362"/>
      <c r="N5" s="2362"/>
      <c r="O5" s="2362"/>
      <c r="P5" s="2363"/>
      <c r="Q5" s="1002"/>
      <c r="R5" s="2361" t="s">
        <v>679</v>
      </c>
      <c r="S5" s="2362"/>
      <c r="T5" s="2362"/>
      <c r="U5" s="2362"/>
      <c r="V5" s="2362"/>
      <c r="W5" s="2362"/>
      <c r="X5" s="2363"/>
      <c r="Y5" s="2018"/>
      <c r="AA5" s="1003" t="s">
        <v>655</v>
      </c>
      <c r="AB5" s="1004" t="s">
        <v>504</v>
      </c>
      <c r="AC5" s="1005">
        <f>H7/100</f>
        <v>3.6000000000000004E-2</v>
      </c>
      <c r="AD5" s="1006" t="s">
        <v>1560</v>
      </c>
      <c r="AE5" s="1007" t="str">
        <f>AA5&amp;"/"&amp;AB5&amp;" "&amp;AD5</f>
        <v>北海道/Hokkaido 3.4%</v>
      </c>
    </row>
    <row r="6" spans="1:41" ht="15" customHeight="1">
      <c r="A6" s="2018"/>
      <c r="B6" s="2356" t="s">
        <v>656</v>
      </c>
      <c r="C6" s="2357"/>
      <c r="D6" s="2357"/>
      <c r="E6" s="2357"/>
      <c r="F6" s="2357"/>
      <c r="G6" s="2357"/>
      <c r="H6" s="1019">
        <v>287485</v>
      </c>
      <c r="I6" s="1002"/>
      <c r="J6" s="2356" t="s">
        <v>656</v>
      </c>
      <c r="K6" s="2357"/>
      <c r="L6" s="2357"/>
      <c r="M6" s="2357"/>
      <c r="N6" s="2357"/>
      <c r="O6" s="2357"/>
      <c r="P6" s="1019">
        <v>355383</v>
      </c>
      <c r="Q6" s="1002"/>
      <c r="R6" s="2356" t="s">
        <v>656</v>
      </c>
      <c r="S6" s="2357"/>
      <c r="T6" s="2357"/>
      <c r="U6" s="2357"/>
      <c r="V6" s="2357"/>
      <c r="W6" s="2357"/>
      <c r="X6" s="1019">
        <v>2974047</v>
      </c>
      <c r="Y6" s="2018"/>
      <c r="AA6" s="1003" t="s">
        <v>657</v>
      </c>
      <c r="AB6" s="1004" t="s">
        <v>505</v>
      </c>
      <c r="AC6" s="1005">
        <f>P7/100</f>
        <v>4.4000000000000004E-2</v>
      </c>
      <c r="AD6" s="1006" t="s">
        <v>1561</v>
      </c>
      <c r="AE6" s="1008" t="str">
        <f t="shared" ref="AE6:AE11" si="0">AA6&amp;"/"&amp;AB6&amp;" "&amp;AD6</f>
        <v>東北/Tohoku 4.3%</v>
      </c>
    </row>
    <row r="7" spans="1:41" ht="15" customHeight="1">
      <c r="A7" s="2018"/>
      <c r="B7" s="2019" t="s">
        <v>669</v>
      </c>
      <c r="C7" s="1002"/>
      <c r="D7" s="1009"/>
      <c r="E7" s="1010"/>
      <c r="F7" s="1010"/>
      <c r="G7" s="1010"/>
      <c r="H7" s="1020">
        <v>3.6</v>
      </c>
      <c r="I7" s="1002"/>
      <c r="J7" s="2019" t="s">
        <v>669</v>
      </c>
      <c r="K7" s="1002"/>
      <c r="L7" s="1009"/>
      <c r="M7" s="1010"/>
      <c r="N7" s="1010"/>
      <c r="O7" s="1010"/>
      <c r="P7" s="1020">
        <v>4.4000000000000004</v>
      </c>
      <c r="Q7" s="1002"/>
      <c r="R7" s="2019" t="s">
        <v>669</v>
      </c>
      <c r="S7" s="1002"/>
      <c r="T7" s="1009"/>
      <c r="U7" s="1010"/>
      <c r="V7" s="1010"/>
      <c r="W7" s="1010"/>
      <c r="X7" s="2048">
        <v>37.1</v>
      </c>
      <c r="Y7" s="2018"/>
      <c r="AA7" s="1003" t="s">
        <v>658</v>
      </c>
      <c r="AB7" s="1004" t="s">
        <v>659</v>
      </c>
      <c r="AC7" s="1005">
        <f>X7/100</f>
        <v>0.371</v>
      </c>
      <c r="AD7" s="1006" t="s">
        <v>1562</v>
      </c>
      <c r="AE7" s="1008" t="str">
        <f>AA7&amp;"/"&amp;AB7&amp;" "&amp;AD7</f>
        <v>関東・甲信越/Kanto・Koshinetsu 36.9%</v>
      </c>
    </row>
    <row r="8" spans="1:41" ht="30" customHeight="1">
      <c r="A8" s="2018"/>
      <c r="B8" s="1031" t="s">
        <v>649</v>
      </c>
      <c r="C8" s="2358" t="s">
        <v>650</v>
      </c>
      <c r="D8" s="2358"/>
      <c r="E8" s="2355" t="s">
        <v>651</v>
      </c>
      <c r="F8" s="2355"/>
      <c r="G8" s="2355"/>
      <c r="H8" s="1032" t="s">
        <v>700</v>
      </c>
      <c r="I8" s="2018"/>
      <c r="J8" s="1031" t="s">
        <v>649</v>
      </c>
      <c r="K8" s="2358" t="s">
        <v>650</v>
      </c>
      <c r="L8" s="2358"/>
      <c r="M8" s="2355" t="s">
        <v>651</v>
      </c>
      <c r="N8" s="2355"/>
      <c r="O8" s="2355"/>
      <c r="P8" s="1032" t="s">
        <v>700</v>
      </c>
      <c r="Q8" s="2018"/>
      <c r="R8" s="1031" t="s">
        <v>649</v>
      </c>
      <c r="S8" s="2358" t="s">
        <v>650</v>
      </c>
      <c r="T8" s="2358"/>
      <c r="U8" s="2355" t="s">
        <v>651</v>
      </c>
      <c r="V8" s="2355"/>
      <c r="W8" s="2355"/>
      <c r="X8" s="1032" t="s">
        <v>700</v>
      </c>
      <c r="Y8" s="2018"/>
      <c r="AA8" s="1003" t="s">
        <v>660</v>
      </c>
      <c r="AB8" s="1004" t="s">
        <v>506</v>
      </c>
      <c r="AC8" s="1005">
        <f>H16/100</f>
        <v>0.23199999999999998</v>
      </c>
      <c r="AD8" s="1006" t="s">
        <v>1563</v>
      </c>
      <c r="AE8" s="1008" t="str">
        <f t="shared" si="0"/>
        <v>中部/Chubu 23.2%</v>
      </c>
    </row>
    <row r="9" spans="1:41" s="1011" customFormat="1" ht="21" customHeight="1">
      <c r="A9" s="2018"/>
      <c r="B9" s="1022" t="s">
        <v>1501</v>
      </c>
      <c r="C9" s="2336" t="s">
        <v>668</v>
      </c>
      <c r="D9" s="2336"/>
      <c r="E9" s="1021"/>
      <c r="F9" s="1023">
        <v>169523</v>
      </c>
      <c r="G9" s="1024"/>
      <c r="H9" s="1025">
        <v>59</v>
      </c>
      <c r="I9" s="2018"/>
      <c r="J9" s="1611" t="s">
        <v>1501</v>
      </c>
      <c r="K9" s="2336" t="s">
        <v>684</v>
      </c>
      <c r="L9" s="2336"/>
      <c r="M9" s="1612"/>
      <c r="N9" s="1613">
        <v>81769</v>
      </c>
      <c r="O9" s="1614"/>
      <c r="P9" s="1615">
        <v>23</v>
      </c>
      <c r="Q9" s="2018"/>
      <c r="R9" s="1022" t="s">
        <v>1501</v>
      </c>
      <c r="S9" s="2336" t="s">
        <v>670</v>
      </c>
      <c r="T9" s="2336"/>
      <c r="U9" s="1021"/>
      <c r="V9" s="1023">
        <v>869357</v>
      </c>
      <c r="W9" s="1024"/>
      <c r="X9" s="1025">
        <v>29.2</v>
      </c>
      <c r="Y9" s="2018"/>
      <c r="AA9" s="1003" t="s">
        <v>661</v>
      </c>
      <c r="AB9" s="1004" t="s">
        <v>507</v>
      </c>
      <c r="AC9" s="1005">
        <f>P16/100</f>
        <v>0.156</v>
      </c>
      <c r="AD9" s="1006" t="s">
        <v>1564</v>
      </c>
      <c r="AE9" s="1008" t="str">
        <f t="shared" si="0"/>
        <v>近畿/Kinki 15.9%</v>
      </c>
    </row>
    <row r="10" spans="1:41" s="1011" customFormat="1" ht="21" customHeight="1">
      <c r="A10" s="2018"/>
      <c r="B10" s="1029" t="s">
        <v>170</v>
      </c>
      <c r="C10" s="2353" t="s">
        <v>1422</v>
      </c>
      <c r="D10" s="2353"/>
      <c r="E10" s="1026"/>
      <c r="F10" s="1027">
        <v>40087</v>
      </c>
      <c r="G10" s="1028"/>
      <c r="H10" s="1030">
        <v>13.9</v>
      </c>
      <c r="I10" s="2018"/>
      <c r="J10" s="1029" t="s">
        <v>170</v>
      </c>
      <c r="K10" s="2353" t="s">
        <v>1569</v>
      </c>
      <c r="L10" s="2353"/>
      <c r="M10" s="1026"/>
      <c r="N10" s="1027">
        <v>67490</v>
      </c>
      <c r="O10" s="1028"/>
      <c r="P10" s="1030">
        <v>19</v>
      </c>
      <c r="Q10" s="2018"/>
      <c r="R10" s="1022" t="s">
        <v>173</v>
      </c>
      <c r="S10" s="2336" t="s">
        <v>701</v>
      </c>
      <c r="T10" s="2336"/>
      <c r="U10" s="1021"/>
      <c r="V10" s="1023">
        <v>250395</v>
      </c>
      <c r="W10" s="1024"/>
      <c r="X10" s="1025">
        <v>8.4</v>
      </c>
      <c r="Y10" s="2018"/>
      <c r="AA10" s="1003" t="s">
        <v>662</v>
      </c>
      <c r="AB10" s="1004" t="s">
        <v>508</v>
      </c>
      <c r="AC10" s="1005">
        <f>X16/100</f>
        <v>5.7999999999999996E-2</v>
      </c>
      <c r="AD10" s="1006" t="s">
        <v>1565</v>
      </c>
      <c r="AE10" s="1008" t="str">
        <f>AA10&amp;"/"&amp;AB10&amp;" "&amp;AD10</f>
        <v>中国・四国/Chushikoku 5.9%</v>
      </c>
    </row>
    <row r="11" spans="1:41" s="1011" customFormat="1" ht="21" customHeight="1">
      <c r="A11" s="2018"/>
      <c r="B11" s="1029" t="s">
        <v>171</v>
      </c>
      <c r="C11" s="2353" t="s">
        <v>1424</v>
      </c>
      <c r="D11" s="2353"/>
      <c r="E11" s="1026"/>
      <c r="F11" s="1027">
        <v>32527</v>
      </c>
      <c r="G11" s="1028"/>
      <c r="H11" s="1030">
        <v>11.3</v>
      </c>
      <c r="I11" s="2018"/>
      <c r="J11" s="1029" t="s">
        <v>171</v>
      </c>
      <c r="K11" s="2353" t="s">
        <v>1568</v>
      </c>
      <c r="L11" s="2353"/>
      <c r="M11" s="1026"/>
      <c r="N11" s="1027">
        <v>62284</v>
      </c>
      <c r="O11" s="1028"/>
      <c r="P11" s="1030">
        <v>17.5</v>
      </c>
      <c r="Q11" s="2018"/>
      <c r="R11" s="1029" t="s">
        <v>171</v>
      </c>
      <c r="S11" s="2360" t="s">
        <v>1503</v>
      </c>
      <c r="T11" s="2360"/>
      <c r="U11" s="1026"/>
      <c r="V11" s="1027">
        <v>229268</v>
      </c>
      <c r="W11" s="1028"/>
      <c r="X11" s="1030">
        <v>7.7</v>
      </c>
      <c r="Y11" s="2018"/>
      <c r="AA11" s="1003" t="s">
        <v>663</v>
      </c>
      <c r="AB11" s="1004" t="s">
        <v>664</v>
      </c>
      <c r="AC11" s="1005">
        <f>H25/100</f>
        <v>9.8000000000000004E-2</v>
      </c>
      <c r="AD11" s="1006" t="s">
        <v>1566</v>
      </c>
      <c r="AE11" s="1008" t="str">
        <f t="shared" si="0"/>
        <v>九州・沖縄/Kyushu・Okinawa 9.9%</v>
      </c>
    </row>
    <row r="12" spans="1:41" ht="21" customHeight="1">
      <c r="A12" s="2018"/>
      <c r="B12" s="1616"/>
      <c r="C12" s="2352" t="s">
        <v>671</v>
      </c>
      <c r="D12" s="2352"/>
      <c r="E12" s="1617"/>
      <c r="F12" s="1618">
        <v>169523</v>
      </c>
      <c r="G12" s="1619"/>
      <c r="H12" s="1620">
        <v>59</v>
      </c>
      <c r="I12" s="2018"/>
      <c r="J12" s="1616"/>
      <c r="K12" s="2352" t="s">
        <v>671</v>
      </c>
      <c r="L12" s="2352"/>
      <c r="M12" s="1617"/>
      <c r="N12" s="1618">
        <v>81769</v>
      </c>
      <c r="O12" s="1619"/>
      <c r="P12" s="1620">
        <v>23</v>
      </c>
      <c r="Q12" s="2018"/>
      <c r="R12" s="1616"/>
      <c r="S12" s="2352" t="s">
        <v>671</v>
      </c>
      <c r="T12" s="2352"/>
      <c r="U12" s="1617"/>
      <c r="V12" s="1624">
        <v>1395564</v>
      </c>
      <c r="W12" s="1619"/>
      <c r="X12" s="1620">
        <v>46.9</v>
      </c>
      <c r="Y12" s="2018"/>
      <c r="AA12" s="2011" t="s">
        <v>1176</v>
      </c>
      <c r="AB12" s="1004"/>
      <c r="AC12" s="1005">
        <f>1-SUM(AC5:AC11)</f>
        <v>5.0000000000000044E-3</v>
      </c>
      <c r="AD12" s="1006" t="s">
        <v>1567</v>
      </c>
      <c r="AE12" s="1008" t="str">
        <f>AA12&amp;"/"&amp;AB12&amp;" "&amp;AD12</f>
        <v>その他/ 0.5%</v>
      </c>
    </row>
    <row r="13" spans="1:41" ht="21" customHeight="1">
      <c r="A13" s="2018"/>
      <c r="B13" s="2018"/>
      <c r="C13" s="2018"/>
      <c r="D13" s="2018"/>
      <c r="E13" s="2018"/>
      <c r="F13" s="2018"/>
      <c r="G13" s="2018"/>
      <c r="H13" s="2018"/>
      <c r="I13" s="2018"/>
      <c r="J13" s="2018"/>
      <c r="K13" s="2018"/>
      <c r="L13" s="2018"/>
      <c r="M13" s="2018"/>
      <c r="N13" s="2018"/>
      <c r="O13" s="2018"/>
      <c r="P13" s="2018"/>
      <c r="Q13" s="2018"/>
      <c r="R13" s="2018"/>
      <c r="S13" s="2018"/>
      <c r="T13" s="2018"/>
      <c r="U13" s="2018"/>
      <c r="V13" s="2018"/>
      <c r="W13" s="2018"/>
      <c r="X13" s="2018"/>
      <c r="Y13" s="2018"/>
    </row>
    <row r="14" spans="1:41" ht="17.100000000000001" customHeight="1">
      <c r="A14" s="2018"/>
      <c r="B14" s="2361" t="s">
        <v>680</v>
      </c>
      <c r="C14" s="2362"/>
      <c r="D14" s="2362"/>
      <c r="E14" s="2362"/>
      <c r="F14" s="2362"/>
      <c r="G14" s="2362"/>
      <c r="H14" s="2363"/>
      <c r="I14" s="1002"/>
      <c r="J14" s="2361" t="s">
        <v>681</v>
      </c>
      <c r="K14" s="2362"/>
      <c r="L14" s="2362"/>
      <c r="M14" s="2362"/>
      <c r="N14" s="2362"/>
      <c r="O14" s="2362"/>
      <c r="P14" s="2363"/>
      <c r="Q14" s="1002"/>
      <c r="R14" s="2361" t="s">
        <v>682</v>
      </c>
      <c r="S14" s="2362"/>
      <c r="T14" s="2362"/>
      <c r="U14" s="2362"/>
      <c r="V14" s="2362"/>
      <c r="W14" s="2362"/>
      <c r="X14" s="2363"/>
      <c r="Y14" s="2018"/>
      <c r="AA14" s="1013" t="s">
        <v>665</v>
      </c>
      <c r="AB14" s="1987" t="s">
        <v>1579</v>
      </c>
      <c r="AC14" s="788"/>
      <c r="AD14" s="788"/>
      <c r="AE14" s="788"/>
      <c r="AF14" s="788"/>
      <c r="AG14" s="788"/>
      <c r="AH14" s="788"/>
      <c r="AI14" s="788"/>
      <c r="AJ14" s="788"/>
      <c r="AK14" s="788"/>
      <c r="AL14" s="788"/>
      <c r="AM14" s="788"/>
      <c r="AN14" s="788"/>
      <c r="AO14" s="789"/>
    </row>
    <row r="15" spans="1:41" ht="15" customHeight="1">
      <c r="A15" s="2018"/>
      <c r="B15" s="2356" t="s">
        <v>656</v>
      </c>
      <c r="C15" s="2357"/>
      <c r="D15" s="2357"/>
      <c r="E15" s="2357"/>
      <c r="F15" s="2357"/>
      <c r="G15" s="2357"/>
      <c r="H15" s="1019">
        <v>1856745</v>
      </c>
      <c r="I15" s="1002"/>
      <c r="J15" s="2356" t="s">
        <v>656</v>
      </c>
      <c r="K15" s="2357"/>
      <c r="L15" s="2357"/>
      <c r="M15" s="2357"/>
      <c r="N15" s="2357"/>
      <c r="O15" s="2357"/>
      <c r="P15" s="1019">
        <v>1251314</v>
      </c>
      <c r="Q15" s="1002"/>
      <c r="R15" s="2356" t="s">
        <v>656</v>
      </c>
      <c r="S15" s="2357"/>
      <c r="T15" s="2357"/>
      <c r="U15" s="2357"/>
      <c r="V15" s="2357"/>
      <c r="W15" s="2357"/>
      <c r="X15" s="1019">
        <v>465745</v>
      </c>
      <c r="Y15" s="2018"/>
      <c r="AA15" s="1014"/>
      <c r="AB15" s="1015" t="s">
        <v>666</v>
      </c>
      <c r="AC15" s="2021"/>
      <c r="AD15" s="2021"/>
      <c r="AE15" s="2021"/>
      <c r="AF15" s="2021"/>
      <c r="AG15" s="2021"/>
      <c r="AH15" s="2021"/>
      <c r="AI15" s="2021"/>
      <c r="AJ15" s="2021"/>
      <c r="AK15" s="2021"/>
      <c r="AL15" s="2021"/>
      <c r="AM15" s="2021"/>
      <c r="AN15" s="2021"/>
      <c r="AO15" s="791"/>
    </row>
    <row r="16" spans="1:41" ht="15" customHeight="1">
      <c r="A16" s="2018"/>
      <c r="B16" s="2019" t="s">
        <v>669</v>
      </c>
      <c r="C16" s="1002"/>
      <c r="D16" s="1009"/>
      <c r="E16" s="1010"/>
      <c r="F16" s="1010"/>
      <c r="G16" s="1010"/>
      <c r="H16" s="1020">
        <v>23.2</v>
      </c>
      <c r="I16" s="1002"/>
      <c r="J16" s="2019" t="s">
        <v>669</v>
      </c>
      <c r="K16" s="1002"/>
      <c r="L16" s="1009"/>
      <c r="M16" s="1010"/>
      <c r="N16" s="1010"/>
      <c r="O16" s="1010"/>
      <c r="P16" s="1020">
        <v>15.6</v>
      </c>
      <c r="Q16" s="1002"/>
      <c r="R16" s="2019" t="s">
        <v>669</v>
      </c>
      <c r="S16" s="1002"/>
      <c r="T16" s="1009"/>
      <c r="U16" s="1010"/>
      <c r="V16" s="1010"/>
      <c r="W16" s="1010"/>
      <c r="X16" s="1020">
        <v>5.8</v>
      </c>
      <c r="Y16" s="2018"/>
    </row>
    <row r="17" spans="1:27" s="1011" customFormat="1" ht="30" customHeight="1">
      <c r="A17" s="2018"/>
      <c r="B17" s="1031" t="s">
        <v>649</v>
      </c>
      <c r="C17" s="2358" t="s">
        <v>650</v>
      </c>
      <c r="D17" s="2358"/>
      <c r="E17" s="2355" t="s">
        <v>651</v>
      </c>
      <c r="F17" s="2355"/>
      <c r="G17" s="2355"/>
      <c r="H17" s="1032" t="s">
        <v>700</v>
      </c>
      <c r="I17" s="2018"/>
      <c r="J17" s="1031" t="s">
        <v>649</v>
      </c>
      <c r="K17" s="2359" t="s">
        <v>650</v>
      </c>
      <c r="L17" s="2359"/>
      <c r="M17" s="2364" t="s">
        <v>651</v>
      </c>
      <c r="N17" s="2364"/>
      <c r="O17" s="2364"/>
      <c r="P17" s="1032" t="s">
        <v>700</v>
      </c>
      <c r="Q17" s="2018"/>
      <c r="R17" s="1031" t="s">
        <v>649</v>
      </c>
      <c r="S17" s="2358" t="s">
        <v>650</v>
      </c>
      <c r="T17" s="2358"/>
      <c r="U17" s="2355" t="s">
        <v>651</v>
      </c>
      <c r="V17" s="2355"/>
      <c r="W17" s="2355"/>
      <c r="X17" s="1032" t="s">
        <v>700</v>
      </c>
      <c r="Y17" s="2018"/>
      <c r="AA17" s="1016" t="s">
        <v>667</v>
      </c>
    </row>
    <row r="18" spans="1:27" s="1011" customFormat="1" ht="21" customHeight="1">
      <c r="A18" s="2018"/>
      <c r="B18" s="1022" t="s">
        <v>1501</v>
      </c>
      <c r="C18" s="2336" t="s">
        <v>672</v>
      </c>
      <c r="D18" s="2336"/>
      <c r="E18" s="1021"/>
      <c r="F18" s="1023">
        <v>525707</v>
      </c>
      <c r="G18" s="1024"/>
      <c r="H18" s="1025">
        <v>28.3</v>
      </c>
      <c r="I18" s="2018"/>
      <c r="J18" s="1033" t="s">
        <v>1501</v>
      </c>
      <c r="K18" s="2341" t="s">
        <v>673</v>
      </c>
      <c r="L18" s="2341"/>
      <c r="M18" s="1034"/>
      <c r="N18" s="1035">
        <v>357941</v>
      </c>
      <c r="O18" s="1036"/>
      <c r="P18" s="1037">
        <v>28.6</v>
      </c>
      <c r="Q18" s="2018"/>
      <c r="R18" s="1029" t="s">
        <v>58</v>
      </c>
      <c r="S18" s="2353" t="s">
        <v>686</v>
      </c>
      <c r="T18" s="2353"/>
      <c r="U18" s="1026"/>
      <c r="V18" s="1027">
        <v>102490</v>
      </c>
      <c r="W18" s="1028"/>
      <c r="X18" s="1030">
        <v>22</v>
      </c>
      <c r="Y18" s="2018"/>
      <c r="AA18" s="1696" t="s">
        <v>1493</v>
      </c>
    </row>
    <row r="19" spans="1:27" s="1011" customFormat="1" ht="21" customHeight="1">
      <c r="A19" s="2018"/>
      <c r="B19" s="1029" t="s">
        <v>355</v>
      </c>
      <c r="C19" s="2353" t="s">
        <v>674</v>
      </c>
      <c r="D19" s="2353"/>
      <c r="E19" s="1026"/>
      <c r="F19" s="1027">
        <v>254401</v>
      </c>
      <c r="G19" s="1028"/>
      <c r="H19" s="1030">
        <v>13.7</v>
      </c>
      <c r="I19" s="2018"/>
      <c r="J19" s="1022" t="s">
        <v>173</v>
      </c>
      <c r="K19" s="2336" t="s">
        <v>685</v>
      </c>
      <c r="L19" s="2336"/>
      <c r="M19" s="1021"/>
      <c r="N19" s="1023">
        <v>224382</v>
      </c>
      <c r="O19" s="1024"/>
      <c r="P19" s="1025">
        <v>17.899999999999999</v>
      </c>
      <c r="Q19" s="2018"/>
      <c r="R19" s="1022" t="s">
        <v>170</v>
      </c>
      <c r="S19" s="2336" t="s">
        <v>687</v>
      </c>
      <c r="T19" s="2336"/>
      <c r="U19" s="1021"/>
      <c r="V19" s="1023">
        <v>80507</v>
      </c>
      <c r="W19" s="1024"/>
      <c r="X19" s="1025">
        <v>17.3</v>
      </c>
      <c r="Y19" s="2018"/>
      <c r="AA19" s="448" t="s">
        <v>1494</v>
      </c>
    </row>
    <row r="20" spans="1:27" ht="21" customHeight="1">
      <c r="A20" s="2018"/>
      <c r="B20" s="1029" t="s">
        <v>160</v>
      </c>
      <c r="C20" s="2353" t="s">
        <v>1504</v>
      </c>
      <c r="D20" s="2353"/>
      <c r="E20" s="1026"/>
      <c r="F20" s="1027">
        <v>233310</v>
      </c>
      <c r="G20" s="1028"/>
      <c r="H20" s="1030">
        <v>12.6</v>
      </c>
      <c r="I20" s="2018"/>
      <c r="J20" s="1029" t="s">
        <v>172</v>
      </c>
      <c r="K20" s="2353" t="s">
        <v>1423</v>
      </c>
      <c r="L20" s="2353"/>
      <c r="M20" s="1026"/>
      <c r="N20" s="1027">
        <v>139136</v>
      </c>
      <c r="O20" s="1028"/>
      <c r="P20" s="1030">
        <v>11.1</v>
      </c>
      <c r="Q20" s="2018"/>
      <c r="R20" s="1029" t="s">
        <v>1505</v>
      </c>
      <c r="S20" s="2353" t="s">
        <v>675</v>
      </c>
      <c r="T20" s="2353"/>
      <c r="U20" s="1026"/>
      <c r="V20" s="1027">
        <v>73897</v>
      </c>
      <c r="W20" s="1028"/>
      <c r="X20" s="1030">
        <v>15.9</v>
      </c>
      <c r="Y20" s="2018"/>
    </row>
    <row r="21" spans="1:27" ht="21" customHeight="1">
      <c r="A21" s="2018"/>
      <c r="B21" s="1616"/>
      <c r="C21" s="2352" t="s">
        <v>671</v>
      </c>
      <c r="D21" s="2352"/>
      <c r="E21" s="1617"/>
      <c r="F21" s="1618">
        <v>745136</v>
      </c>
      <c r="G21" s="1619">
        <v>719456</v>
      </c>
      <c r="H21" s="1620">
        <v>40.1</v>
      </c>
      <c r="I21" s="2018"/>
      <c r="J21" s="1616"/>
      <c r="K21" s="2352" t="s">
        <v>671</v>
      </c>
      <c r="L21" s="2352"/>
      <c r="M21" s="1617"/>
      <c r="N21" s="1618">
        <v>686872</v>
      </c>
      <c r="O21" s="1619"/>
      <c r="P21" s="1620">
        <v>54.9</v>
      </c>
      <c r="Q21" s="2018"/>
      <c r="R21" s="1616"/>
      <c r="S21" s="2352" t="s">
        <v>671</v>
      </c>
      <c r="T21" s="2352"/>
      <c r="U21" s="1617"/>
      <c r="V21" s="1618">
        <v>80507</v>
      </c>
      <c r="W21" s="1619"/>
      <c r="X21" s="1620">
        <v>17.3</v>
      </c>
      <c r="Y21" s="2018"/>
    </row>
    <row r="22" spans="1:27" ht="21" customHeight="1">
      <c r="A22" s="2018"/>
      <c r="B22" s="1002"/>
      <c r="C22" s="2018"/>
      <c r="D22" s="2018"/>
      <c r="E22" s="2018"/>
      <c r="F22" s="2018"/>
      <c r="G22" s="2018"/>
      <c r="H22" s="2018"/>
      <c r="I22" s="2018"/>
      <c r="J22" s="1002"/>
      <c r="K22" s="2018"/>
      <c r="L22" s="2018"/>
      <c r="M22" s="2018"/>
      <c r="N22" s="2018"/>
      <c r="O22" s="2018"/>
      <c r="P22" s="2018"/>
      <c r="Q22" s="2018"/>
      <c r="R22" s="1002"/>
      <c r="S22" s="2018"/>
      <c r="T22" s="2018"/>
      <c r="U22" s="2018"/>
      <c r="V22" s="2018"/>
      <c r="W22" s="2018"/>
      <c r="X22" s="2018"/>
      <c r="Y22" s="2018"/>
    </row>
    <row r="23" spans="1:27" ht="17.100000000000001" customHeight="1">
      <c r="A23" s="2018"/>
      <c r="B23" s="2361" t="s">
        <v>683</v>
      </c>
      <c r="C23" s="2362"/>
      <c r="D23" s="2362"/>
      <c r="E23" s="2362"/>
      <c r="F23" s="2362"/>
      <c r="G23" s="2362"/>
      <c r="H23" s="2363"/>
      <c r="I23" s="1002"/>
      <c r="J23" s="1002"/>
      <c r="K23" s="2018"/>
      <c r="L23" s="2018"/>
      <c r="M23" s="2018"/>
      <c r="N23" s="2018"/>
      <c r="O23" s="2018"/>
      <c r="P23" s="2018"/>
      <c r="Q23" s="2018"/>
      <c r="R23" s="2018"/>
      <c r="S23" s="2018"/>
      <c r="T23" s="2018"/>
      <c r="U23" s="2018"/>
      <c r="V23" s="2018"/>
      <c r="W23" s="2018"/>
      <c r="X23" s="2018"/>
      <c r="Y23" s="2018"/>
    </row>
    <row r="24" spans="1:27" ht="15" customHeight="1">
      <c r="A24" s="2018"/>
      <c r="B24" s="2356" t="s">
        <v>656</v>
      </c>
      <c r="C24" s="2357"/>
      <c r="D24" s="2357"/>
      <c r="E24" s="2357"/>
      <c r="F24" s="2357"/>
      <c r="G24" s="2357"/>
      <c r="H24" s="1019">
        <v>784987</v>
      </c>
      <c r="I24" s="1002"/>
      <c r="J24" s="1002"/>
      <c r="K24" s="1002"/>
      <c r="L24" s="1002"/>
      <c r="M24" s="1002"/>
      <c r="N24" s="1002"/>
      <c r="O24" s="1002"/>
      <c r="P24" s="1002"/>
      <c r="Q24" s="1002"/>
      <c r="R24" s="1002"/>
      <c r="S24" s="2018"/>
      <c r="T24" s="2018"/>
      <c r="U24" s="2018"/>
      <c r="V24" s="2018"/>
      <c r="W24" s="2018"/>
      <c r="X24" s="2018"/>
      <c r="Y24" s="2018"/>
    </row>
    <row r="25" spans="1:27" ht="15" customHeight="1">
      <c r="A25" s="2018"/>
      <c r="B25" s="2019" t="s">
        <v>669</v>
      </c>
      <c r="C25" s="1002"/>
      <c r="D25" s="1009"/>
      <c r="E25" s="1010"/>
      <c r="F25" s="1010"/>
      <c r="G25" s="1010"/>
      <c r="H25" s="1020">
        <v>9.8000000000000007</v>
      </c>
      <c r="I25" s="2018"/>
      <c r="J25" s="1002"/>
      <c r="K25" s="1002"/>
      <c r="L25" s="1002"/>
      <c r="M25" s="1002"/>
      <c r="N25" s="1002"/>
      <c r="O25" s="1002"/>
      <c r="P25" s="1002"/>
      <c r="Q25" s="1002"/>
      <c r="R25" s="1002"/>
      <c r="S25" s="2018"/>
      <c r="T25" s="2018"/>
      <c r="U25" s="2018"/>
      <c r="V25" s="2018"/>
      <c r="W25" s="2018"/>
      <c r="X25" s="2018"/>
      <c r="Y25" s="2018"/>
    </row>
    <row r="26" spans="1:27" s="1011" customFormat="1" ht="30" customHeight="1">
      <c r="A26" s="2018"/>
      <c r="B26" s="1031" t="s">
        <v>649</v>
      </c>
      <c r="C26" s="2358" t="s">
        <v>650</v>
      </c>
      <c r="D26" s="2358"/>
      <c r="E26" s="2355" t="s">
        <v>651</v>
      </c>
      <c r="F26" s="2355"/>
      <c r="G26" s="2355"/>
      <c r="H26" s="1032" t="s">
        <v>700</v>
      </c>
      <c r="I26" s="2018"/>
      <c r="J26" s="1002"/>
      <c r="K26" s="2018"/>
      <c r="L26" s="2018"/>
      <c r="M26" s="2018"/>
      <c r="N26" s="2018"/>
      <c r="O26" s="2018"/>
      <c r="P26" s="2018"/>
      <c r="Q26" s="2018"/>
      <c r="R26" s="2018"/>
      <c r="S26" s="2018"/>
      <c r="T26" s="2018"/>
      <c r="U26" s="2018"/>
      <c r="V26" s="2018"/>
      <c r="W26" s="2018"/>
      <c r="X26" s="2018"/>
      <c r="Y26" s="2018"/>
    </row>
    <row r="27" spans="1:27" s="1011" customFormat="1" ht="21" customHeight="1">
      <c r="A27" s="2018"/>
      <c r="B27" s="1022" t="s">
        <v>1501</v>
      </c>
      <c r="C27" s="2336" t="s">
        <v>676</v>
      </c>
      <c r="D27" s="2336"/>
      <c r="E27" s="1021"/>
      <c r="F27" s="1023">
        <v>260516</v>
      </c>
      <c r="G27" s="1024"/>
      <c r="H27" s="1025">
        <v>33.200000000000003</v>
      </c>
      <c r="I27" s="2018"/>
      <c r="J27" s="1002"/>
      <c r="K27" s="2018"/>
      <c r="L27" s="2018"/>
      <c r="M27" s="2018"/>
      <c r="N27" s="2018"/>
      <c r="O27" s="2018"/>
      <c r="P27" s="2018"/>
      <c r="Q27" s="2018"/>
      <c r="R27" s="2018"/>
      <c r="S27" s="2018"/>
      <c r="T27" s="2018"/>
      <c r="U27" s="2018"/>
      <c r="V27" s="2018"/>
      <c r="W27" s="2018"/>
      <c r="X27" s="2018"/>
      <c r="Y27" s="2018"/>
    </row>
    <row r="28" spans="1:27" s="1011" customFormat="1" ht="21" customHeight="1">
      <c r="A28" s="2018"/>
      <c r="B28" s="1038" t="s">
        <v>355</v>
      </c>
      <c r="C28" s="2354" t="s">
        <v>677</v>
      </c>
      <c r="D28" s="2354"/>
      <c r="E28" s="1039"/>
      <c r="F28" s="1040">
        <v>106780</v>
      </c>
      <c r="G28" s="1041"/>
      <c r="H28" s="1042">
        <v>13.6</v>
      </c>
      <c r="I28" s="2018"/>
      <c r="J28" s="1002"/>
      <c r="K28" s="2018"/>
      <c r="L28" s="2018"/>
      <c r="M28" s="2018"/>
      <c r="N28" s="2018"/>
      <c r="O28" s="2018"/>
      <c r="P28" s="2018"/>
      <c r="Q28" s="2018"/>
      <c r="R28" s="2018"/>
      <c r="S28" s="2018"/>
      <c r="T28" s="2018"/>
      <c r="U28" s="2018"/>
      <c r="V28" s="2018"/>
      <c r="W28" s="2018"/>
      <c r="X28" s="2018"/>
      <c r="Y28" s="2018"/>
    </row>
    <row r="29" spans="1:27" ht="21" customHeight="1">
      <c r="A29" s="2018"/>
      <c r="B29" s="1029" t="s">
        <v>160</v>
      </c>
      <c r="C29" s="2353" t="s">
        <v>1109</v>
      </c>
      <c r="D29" s="2353"/>
      <c r="E29" s="1026"/>
      <c r="F29" s="1027">
        <v>82545</v>
      </c>
      <c r="G29" s="1028"/>
      <c r="H29" s="1030">
        <v>10.5</v>
      </c>
      <c r="I29" s="2018"/>
      <c r="J29" s="1002"/>
      <c r="K29" s="2018"/>
      <c r="L29" s="2018"/>
      <c r="M29" s="2018"/>
      <c r="N29" s="2018"/>
      <c r="O29" s="2018"/>
      <c r="P29" s="2018"/>
      <c r="Q29" s="2018"/>
      <c r="R29" s="2018"/>
      <c r="S29" s="2018"/>
      <c r="T29" s="2018"/>
      <c r="U29" s="2018"/>
      <c r="V29" s="2018"/>
      <c r="W29" s="2018"/>
      <c r="X29" s="2018"/>
      <c r="Y29" s="2018"/>
    </row>
    <row r="30" spans="1:27" ht="21" customHeight="1">
      <c r="A30" s="2018"/>
      <c r="B30" s="1616"/>
      <c r="C30" s="2352" t="s">
        <v>671</v>
      </c>
      <c r="D30" s="2352"/>
      <c r="E30" s="1617"/>
      <c r="F30" s="1618">
        <v>304668</v>
      </c>
      <c r="G30" s="1619"/>
      <c r="H30" s="1620">
        <v>38.799999999999997</v>
      </c>
      <c r="I30" s="2018"/>
      <c r="J30" s="1002"/>
      <c r="K30" s="2018"/>
      <c r="L30" s="2018"/>
      <c r="M30" s="2018"/>
      <c r="N30" s="2018"/>
      <c r="O30" s="2018"/>
      <c r="P30" s="2018"/>
      <c r="Q30" s="2018"/>
      <c r="R30" s="2018"/>
      <c r="S30" s="2018"/>
      <c r="T30" s="2018"/>
      <c r="U30" s="2018"/>
      <c r="V30" s="2018"/>
      <c r="W30" s="2018"/>
      <c r="X30" s="2018"/>
      <c r="Y30" s="2018"/>
    </row>
    <row r="31" spans="1:27" ht="7.5" customHeight="1">
      <c r="A31" s="2018"/>
      <c r="B31" s="2015"/>
      <c r="C31" s="2018"/>
      <c r="D31" s="2018"/>
      <c r="E31" s="2018"/>
      <c r="F31" s="2018"/>
      <c r="G31" s="2018"/>
      <c r="H31" s="2018"/>
      <c r="I31" s="2018"/>
      <c r="J31" s="1002"/>
      <c r="K31" s="2018"/>
      <c r="L31" s="2018"/>
      <c r="M31" s="2018"/>
      <c r="N31" s="2018"/>
      <c r="O31" s="2018"/>
      <c r="P31" s="2018"/>
      <c r="Q31" s="2018"/>
      <c r="R31" s="2018"/>
      <c r="S31" s="2018"/>
      <c r="T31" s="2018"/>
      <c r="U31" s="2018"/>
      <c r="V31" s="2018"/>
      <c r="W31" s="2018"/>
      <c r="X31" s="2018"/>
      <c r="Y31" s="2018"/>
    </row>
    <row r="32" spans="1:27" ht="17.25" customHeight="1">
      <c r="A32" s="2018"/>
      <c r="B32" s="1017" t="s">
        <v>1216</v>
      </c>
      <c r="C32" s="2018"/>
      <c r="D32" s="2018"/>
      <c r="E32" s="2018"/>
      <c r="F32" s="2018"/>
      <c r="G32" s="2018"/>
      <c r="H32" s="2018"/>
      <c r="I32" s="2018"/>
      <c r="J32" s="2018"/>
      <c r="K32" s="2018"/>
      <c r="L32" s="2018"/>
      <c r="M32" s="2018"/>
      <c r="N32" s="2018"/>
      <c r="O32" s="2018"/>
      <c r="P32" s="2018"/>
      <c r="Q32" s="2018"/>
      <c r="R32" s="2018"/>
      <c r="S32" s="2018"/>
      <c r="T32" s="2018"/>
      <c r="U32" s="2018"/>
      <c r="V32" s="2018"/>
      <c r="W32" s="2018"/>
      <c r="X32" s="2018"/>
      <c r="Y32" s="2018"/>
    </row>
    <row r="33" spans="1:25" ht="21" customHeight="1">
      <c r="A33" s="2018"/>
      <c r="B33" s="999"/>
      <c r="C33" s="2018"/>
      <c r="D33" s="2018"/>
      <c r="E33" s="2018"/>
      <c r="F33" s="2018"/>
      <c r="G33" s="2018"/>
      <c r="H33" s="2018"/>
      <c r="I33" s="2018"/>
      <c r="J33" s="2018"/>
      <c r="K33" s="2018"/>
      <c r="L33" s="2018"/>
      <c r="M33" s="2018"/>
      <c r="N33" s="2018"/>
      <c r="O33" s="2018"/>
      <c r="P33" s="2018"/>
      <c r="Q33" s="2018"/>
      <c r="R33" s="2018"/>
      <c r="S33" s="2018"/>
      <c r="T33" s="2018"/>
      <c r="U33" s="2018"/>
      <c r="V33" s="2018"/>
      <c r="W33" s="2018"/>
      <c r="X33" s="2018"/>
      <c r="Y33" s="2018"/>
    </row>
    <row r="34" spans="1:25">
      <c r="A34" s="2018"/>
      <c r="B34" s="2020"/>
      <c r="C34" s="2018"/>
      <c r="D34" s="2018"/>
      <c r="E34" s="2018"/>
      <c r="F34" s="2018"/>
      <c r="G34" s="2018"/>
      <c r="H34" s="2018"/>
      <c r="I34" s="2018"/>
      <c r="J34" s="2018"/>
      <c r="K34" s="2018"/>
      <c r="L34" s="2018"/>
      <c r="M34" s="2018"/>
      <c r="N34" s="2018"/>
      <c r="O34" s="2018"/>
      <c r="P34" s="2018"/>
      <c r="Q34" s="2018"/>
      <c r="R34" s="2018"/>
      <c r="S34" s="2018"/>
      <c r="T34" s="2018"/>
      <c r="U34" s="2018"/>
      <c r="V34" s="2018"/>
      <c r="W34" s="2018"/>
      <c r="X34" s="2018"/>
      <c r="Y34" s="2018"/>
    </row>
    <row r="35" spans="1:25" ht="39.75" customHeight="1">
      <c r="A35" s="2018"/>
      <c r="B35" s="1002"/>
      <c r="C35" s="2018"/>
      <c r="D35" s="2018"/>
      <c r="E35" s="2018"/>
      <c r="F35" s="2018"/>
      <c r="G35" s="2018"/>
      <c r="H35" s="2018"/>
      <c r="I35" s="2018"/>
      <c r="J35" s="2018"/>
      <c r="K35" s="2018"/>
      <c r="L35" s="2018"/>
      <c r="M35" s="2018"/>
      <c r="N35" s="2018"/>
      <c r="O35" s="2018"/>
      <c r="P35" s="2018"/>
      <c r="Q35" s="2018"/>
      <c r="R35" s="2018"/>
      <c r="S35" s="2018"/>
      <c r="T35" s="2018"/>
      <c r="U35" s="2018"/>
      <c r="V35" s="2018"/>
      <c r="W35" s="2018"/>
      <c r="X35" s="2018"/>
      <c r="Y35" s="2018"/>
    </row>
    <row r="36" spans="1:25" ht="21" customHeight="1">
      <c r="A36" s="2018"/>
      <c r="B36" s="1002"/>
      <c r="C36" s="2018"/>
      <c r="D36" s="2018"/>
      <c r="E36" s="2018"/>
      <c r="F36" s="2018"/>
      <c r="G36" s="2018"/>
      <c r="H36" s="2018"/>
      <c r="I36" s="2018"/>
      <c r="J36" s="2018"/>
      <c r="K36" s="2018"/>
      <c r="L36" s="2018"/>
      <c r="M36" s="2018"/>
      <c r="N36" s="2018"/>
      <c r="O36" s="2018"/>
      <c r="P36" s="2018"/>
      <c r="Q36" s="2018"/>
      <c r="R36" s="2018"/>
      <c r="S36" s="2018"/>
      <c r="T36" s="2018"/>
      <c r="U36" s="2018"/>
      <c r="V36" s="2018"/>
      <c r="W36" s="2018"/>
      <c r="X36" s="2018"/>
      <c r="Y36" s="2018"/>
    </row>
    <row r="37" spans="1:25">
      <c r="A37" s="2018"/>
      <c r="B37" s="1002"/>
      <c r="C37" s="2018"/>
      <c r="D37" s="2018"/>
      <c r="E37" s="2018"/>
      <c r="F37" s="2018"/>
      <c r="G37" s="2018"/>
      <c r="H37" s="2018"/>
      <c r="I37" s="2018"/>
      <c r="J37" s="2018"/>
      <c r="K37" s="2018"/>
      <c r="L37" s="2018"/>
      <c r="M37" s="2018"/>
      <c r="N37" s="2018"/>
      <c r="O37" s="2018"/>
      <c r="P37" s="2018"/>
      <c r="Q37" s="2018"/>
      <c r="R37" s="2018"/>
      <c r="S37" s="2018"/>
      <c r="T37" s="2018"/>
      <c r="U37" s="2018"/>
      <c r="V37" s="2018"/>
      <c r="W37" s="2018"/>
      <c r="X37" s="2018"/>
      <c r="Y37" s="2018"/>
    </row>
    <row r="38" spans="1:25">
      <c r="A38" s="2018"/>
      <c r="B38" s="2018"/>
      <c r="C38" s="2018"/>
      <c r="D38" s="2018"/>
      <c r="E38" s="2018"/>
      <c r="F38" s="2018"/>
      <c r="G38" s="2018"/>
      <c r="H38" s="2018"/>
      <c r="I38" s="2018"/>
      <c r="J38" s="2018"/>
      <c r="K38" s="2018"/>
      <c r="L38" s="2018"/>
      <c r="M38" s="2018"/>
      <c r="N38" s="2018"/>
      <c r="O38" s="2018"/>
      <c r="P38" s="2018"/>
      <c r="Q38" s="2018"/>
      <c r="R38" s="2018"/>
      <c r="S38" s="2018"/>
      <c r="T38" s="2018"/>
      <c r="U38" s="2018"/>
      <c r="V38" s="2018"/>
      <c r="W38" s="2018"/>
      <c r="X38" s="2018"/>
      <c r="Y38" s="2018"/>
    </row>
    <row r="39" spans="1:25">
      <c r="A39" s="2018"/>
      <c r="B39" s="2018"/>
      <c r="C39" s="2018"/>
      <c r="D39" s="2018"/>
      <c r="E39" s="2018"/>
      <c r="F39" s="2018"/>
      <c r="G39" s="2018"/>
      <c r="H39" s="2018"/>
      <c r="I39" s="2018"/>
      <c r="J39" s="2018"/>
      <c r="K39" s="2018"/>
      <c r="L39" s="2018"/>
      <c r="M39" s="2018"/>
      <c r="N39" s="2018"/>
      <c r="O39" s="2018"/>
      <c r="P39" s="2018"/>
      <c r="Q39" s="2018"/>
      <c r="R39" s="2018"/>
      <c r="S39" s="2018"/>
      <c r="T39" s="2018"/>
      <c r="U39" s="2018"/>
      <c r="V39" s="2018"/>
      <c r="W39" s="2018"/>
      <c r="X39" s="2018"/>
      <c r="Y39" s="2018"/>
    </row>
  </sheetData>
  <sheetProtection algorithmName="SHA-512" hashValue="JRdXGOlrF6WqSkd7FgLO2fuBNCSJyHtZcIoO687RSuMSRIESpo2n2JjrvzvlS8aUN1EhJb5Uuf5oUIixROo6Mw==" saltValue="EuQqnq9Xt6BYtlxqqNs7Yg==" spinCount="100000" sheet="1" objects="1" scenarios="1"/>
  <customSheetViews>
    <customSheetView guid="{06451E13-97D0-44F4-875B-E8D80B2F1CF1}" showPageBreaks="1" fitToPage="1" printArea="1" view="pageBreakPreview">
      <selection activeCell="R33" sqref="R33"/>
      <pageMargins left="0" right="0" top="0" bottom="0" header="0" footer="0"/>
      <printOptions horizontalCentered="1" verticalCentered="1"/>
      <pageSetup paperSize="9" scale="81" orientation="landscape" r:id="rId1"/>
      <headerFooter scaleWithDoc="0" alignWithMargins="0">
        <oddFooter>&amp;C&amp;"Arial,標準"&amp;12 7</oddFooter>
      </headerFooter>
    </customSheetView>
  </customSheetViews>
  <mergeCells count="56">
    <mergeCell ref="R5:X5"/>
    <mergeCell ref="R14:X14"/>
    <mergeCell ref="B23:H23"/>
    <mergeCell ref="B5:H5"/>
    <mergeCell ref="J5:P5"/>
    <mergeCell ref="B14:H14"/>
    <mergeCell ref="J14:P14"/>
    <mergeCell ref="E8:G8"/>
    <mergeCell ref="E17:G17"/>
    <mergeCell ref="M8:O8"/>
    <mergeCell ref="M17:O17"/>
    <mergeCell ref="U8:W8"/>
    <mergeCell ref="U17:W17"/>
    <mergeCell ref="K8:L8"/>
    <mergeCell ref="S8:T8"/>
    <mergeCell ref="C17:D17"/>
    <mergeCell ref="K17:L17"/>
    <mergeCell ref="S17:T17"/>
    <mergeCell ref="C26:D26"/>
    <mergeCell ref="K9:L9"/>
    <mergeCell ref="K10:L10"/>
    <mergeCell ref="K11:L11"/>
    <mergeCell ref="K12:L12"/>
    <mergeCell ref="S9:T9"/>
    <mergeCell ref="S10:T10"/>
    <mergeCell ref="S11:T11"/>
    <mergeCell ref="S12:T12"/>
    <mergeCell ref="B24:G24"/>
    <mergeCell ref="C18:D18"/>
    <mergeCell ref="C19:D19"/>
    <mergeCell ref="C20:D20"/>
    <mergeCell ref="C21:D21"/>
    <mergeCell ref="B6:G6"/>
    <mergeCell ref="J6:O6"/>
    <mergeCell ref="R6:W6"/>
    <mergeCell ref="B15:G15"/>
    <mergeCell ref="J15:O15"/>
    <mergeCell ref="R15:W15"/>
    <mergeCell ref="C8:D8"/>
    <mergeCell ref="C9:D9"/>
    <mergeCell ref="C10:D10"/>
    <mergeCell ref="C11:D11"/>
    <mergeCell ref="C12:D12"/>
    <mergeCell ref="K21:L21"/>
    <mergeCell ref="S21:T21"/>
    <mergeCell ref="C30:D30"/>
    <mergeCell ref="K18:L18"/>
    <mergeCell ref="K19:L19"/>
    <mergeCell ref="K20:L20"/>
    <mergeCell ref="S18:T18"/>
    <mergeCell ref="S19:T19"/>
    <mergeCell ref="S20:T20"/>
    <mergeCell ref="C27:D27"/>
    <mergeCell ref="C28:D28"/>
    <mergeCell ref="C29:D29"/>
    <mergeCell ref="E26:G26"/>
  </mergeCells>
  <phoneticPr fontId="29"/>
  <hyperlinks>
    <hyperlink ref="AB14" r:id="rId2" display="\\10.51.3.13\財務部\10_担当業務\10_台数\ユーストカー\5_AA実績上半期・暦年資料\ユーストカー上半期・暦年実績（works-i用）"/>
  </hyperlinks>
  <printOptions horizontalCentered="1" verticalCentered="1"/>
  <pageMargins left="0" right="0" top="0" bottom="0" header="0" footer="0"/>
  <pageSetup paperSize="9" scale="83" orientation="landscape" r:id="rId3"/>
  <headerFooter scaleWithDoc="0" alignWithMargins="0">
    <oddFooter>&amp;C&amp;"Arial,標準"&amp;12 7</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f0b6f8e-13f4-43ff-9293-e4d76c31a755" xsi:nil="true"/>
    <lcf76f155ced4ddcb4097134ff3c332f xmlns="71d4167b-f640-4c85-9e31-215d16d307f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FDF0EAAD2246341881E56F1B65D46BB" ma:contentTypeVersion="10" ma:contentTypeDescription="新しいドキュメントを作成します。" ma:contentTypeScope="" ma:versionID="8fd0113e5f521558e979f7854650bb75">
  <xsd:schema xmlns:xsd="http://www.w3.org/2001/XMLSchema" xmlns:xs="http://www.w3.org/2001/XMLSchema" xmlns:p="http://schemas.microsoft.com/office/2006/metadata/properties" xmlns:ns2="71d4167b-f640-4c85-9e31-215d16d307fa" xmlns:ns3="ff0b6f8e-13f4-43ff-9293-e4d76c31a755" targetNamespace="http://schemas.microsoft.com/office/2006/metadata/properties" ma:root="true" ma:fieldsID="d3c0ff969df9c4ee45bbf836ac4903f1" ns2:_="" ns3:_="">
    <xsd:import namespace="71d4167b-f640-4c85-9e31-215d16d307fa"/>
    <xsd:import namespace="ff0b6f8e-13f4-43ff-9293-e4d76c31a7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d4167b-f640-4c85-9e31-215d16d307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fbef511-2697-4f49-910f-ca747039f6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0b6f8e-13f4-43ff-9293-e4d76c31a75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fa80169-5436-4de5-9b49-388a6b0dcc13}" ma:internalName="TaxCatchAll" ma:showField="CatchAllData" ma:web="ff0b6f8e-13f4-43ff-9293-e4d76c31a7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7427AE-920F-4CE5-B522-E129033F2D86}">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71d4167b-f640-4c85-9e31-215d16d307fa"/>
    <ds:schemaRef ds:uri="http://purl.org/dc/elements/1.1/"/>
    <ds:schemaRef ds:uri="http://schemas.microsoft.com/office/2006/metadata/properties"/>
    <ds:schemaRef ds:uri="ff0b6f8e-13f4-43ff-9293-e4d76c31a755"/>
    <ds:schemaRef ds:uri="http://www.w3.org/XML/1998/namespace"/>
    <ds:schemaRef ds:uri="http://purl.org/dc/dcmitype/"/>
  </ds:schemaRefs>
</ds:datastoreItem>
</file>

<file path=customXml/itemProps2.xml><?xml version="1.0" encoding="utf-8"?>
<ds:datastoreItem xmlns:ds="http://schemas.openxmlformats.org/officeDocument/2006/customXml" ds:itemID="{EAA7A19D-71E2-4DCA-8F80-04B3EBBD98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d4167b-f640-4c85-9e31-215d16d307fa"/>
    <ds:schemaRef ds:uri="ff0b6f8e-13f4-43ff-9293-e4d76c31a7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B58495-577E-44C4-B982-E2A8152F50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29</vt:i4>
      </vt:variant>
      <vt:variant>
        <vt:lpstr>名前付き一覧</vt:lpstr>
      </vt:variant>
      <vt:variant>
        <vt:i4>29</vt:i4>
      </vt:variant>
    </vt:vector>
  </HeadingPairs>
  <TitlesOfParts>
    <vt:vector size="58" baseType="lpstr">
      <vt:lpstr>表紙</vt:lpstr>
      <vt:lpstr>目次</vt:lpstr>
      <vt:lpstr>Ⅰ_主要ﾃﾞｰﾀ</vt:lpstr>
      <vt:lpstr>Ⅱ-1-(1)_自動車業界関連指標</vt:lpstr>
      <vt:lpstr>Ⅱ-1-(2)_中古車輸出台数</vt:lpstr>
      <vt:lpstr>Ⅱ-1-(3)_業態別AA出品台数</vt:lpstr>
      <vt:lpstr>Ⅱ-1-(4)_業界ｸﾞﾙｰﾌﾟ別出品台数</vt:lpstr>
      <vt:lpstr>Ⅱ-1-(5)_USS会場別出品台数ﾗﾝｷﾝｸﾞ</vt:lpstr>
      <vt:lpstr>Ⅱ-1-(6)_地域別出品台数ﾗﾝｷﾝｸﾞ</vt:lpstr>
      <vt:lpstr>Ⅱ-1-(7)_二輪車業界指標</vt:lpstr>
      <vt:lpstr>Ⅱ-2-(1)_会場別AA実績</vt:lpstr>
      <vt:lpstr>Ⅱ-2-(2)_AA実績月次推移</vt:lpstr>
      <vt:lpstr>Ⅲ-1-(1)_ｾｸﾞﾒﾝﾄの状況</vt:lpstr>
      <vt:lpstr>Ⅲ-1-(2)_AAｾｸﾞﾒﾝﾄ売上推移</vt:lpstr>
      <vt:lpstr>Ⅲ-1-(3)_AAｾｸﾞﾒﾝﾄ売上内訳</vt:lpstr>
      <vt:lpstr>Ⅲ-1-(4)_AAｾｸﾞﾒﾝﾄ低額車推移</vt:lpstr>
      <vt:lpstr>Ⅲ-1-(5)_AAｾｸﾞﾒﾝﾄ会員数および外部落札</vt:lpstr>
      <vt:lpstr>Ⅲ-1-(6)_AAｾｸﾞﾒﾝﾄﾊﾞｲｸｵｰｸｼｮﾝ実績</vt:lpstr>
      <vt:lpstr>Ⅲ-1-(7)_中古車買取販売ｾｸﾞﾒﾝﾄ売上推移</vt:lpstr>
      <vt:lpstr>Ⅲ-1-(8)_ﾘｻｲｸﾙ7ｾｸﾞﾒﾝﾄ売上推移</vt:lpstr>
      <vt:lpstr>Ⅲ-2-(1)_連結PL</vt:lpstr>
      <vt:lpstr>Ⅲ-2-(2)_連結BS</vt:lpstr>
      <vt:lpstr>Ⅲ-2-(3)_連結CF</vt:lpstr>
      <vt:lpstr>Ⅲ-2-(4)_来期計画</vt:lpstr>
      <vt:lpstr>Ⅳ_計算式</vt:lpstr>
      <vt:lpstr>Ⅴ_注記事項(1)</vt:lpstr>
      <vt:lpstr>Ⅴ_注記事項(2)</vt:lpstr>
      <vt:lpstr>Ⅴ_注記事項(3)</vt:lpstr>
      <vt:lpstr>取扱の注意</vt:lpstr>
      <vt:lpstr>Ⅰ_主要ﾃﾞｰﾀ!Print_Area</vt:lpstr>
      <vt:lpstr>'Ⅱ-1-(1)_自動車業界関連指標'!Print_Area</vt:lpstr>
      <vt:lpstr>'Ⅱ-1-(2)_中古車輸出台数'!Print_Area</vt:lpstr>
      <vt:lpstr>'Ⅱ-1-(3)_業態別AA出品台数'!Print_Area</vt:lpstr>
      <vt:lpstr>'Ⅱ-1-(4)_業界ｸﾞﾙｰﾌﾟ別出品台数'!Print_Area</vt:lpstr>
      <vt:lpstr>'Ⅱ-1-(5)_USS会場別出品台数ﾗﾝｷﾝｸﾞ'!Print_Area</vt:lpstr>
      <vt:lpstr>'Ⅱ-1-(6)_地域別出品台数ﾗﾝｷﾝｸﾞ'!Print_Area</vt:lpstr>
      <vt:lpstr>'Ⅱ-1-(7)_二輪車業界指標'!Print_Area</vt:lpstr>
      <vt:lpstr>'Ⅱ-2-(1)_会場別AA実績'!Print_Area</vt:lpstr>
      <vt:lpstr>'Ⅱ-2-(2)_AA実績月次推移'!Print_Area</vt:lpstr>
      <vt:lpstr>'Ⅲ-1-(1)_ｾｸﾞﾒﾝﾄの状況'!Print_Area</vt:lpstr>
      <vt:lpstr>'Ⅲ-1-(2)_AAｾｸﾞﾒﾝﾄ売上推移'!Print_Area</vt:lpstr>
      <vt:lpstr>'Ⅲ-1-(3)_AAｾｸﾞﾒﾝﾄ売上内訳'!Print_Area</vt:lpstr>
      <vt:lpstr>'Ⅲ-1-(4)_AAｾｸﾞﾒﾝﾄ低額車推移'!Print_Area</vt:lpstr>
      <vt:lpstr>'Ⅲ-1-(5)_AAｾｸﾞﾒﾝﾄ会員数および外部落札'!Print_Area</vt:lpstr>
      <vt:lpstr>'Ⅲ-1-(6)_AAｾｸﾞﾒﾝﾄﾊﾞｲｸｵｰｸｼｮﾝ実績'!Print_Area</vt:lpstr>
      <vt:lpstr>'Ⅲ-1-(7)_中古車買取販売ｾｸﾞﾒﾝﾄ売上推移'!Print_Area</vt:lpstr>
      <vt:lpstr>'Ⅲ-1-(8)_ﾘｻｲｸﾙ7ｾｸﾞﾒﾝﾄ売上推移'!Print_Area</vt:lpstr>
      <vt:lpstr>'Ⅲ-2-(1)_連結PL'!Print_Area</vt:lpstr>
      <vt:lpstr>'Ⅲ-2-(2)_連結BS'!Print_Area</vt:lpstr>
      <vt:lpstr>'Ⅲ-2-(3)_連結CF'!Print_Area</vt:lpstr>
      <vt:lpstr>'Ⅲ-2-(4)_来期計画'!Print_Area</vt:lpstr>
      <vt:lpstr>Ⅳ_計算式!Print_Area</vt:lpstr>
      <vt:lpstr>'Ⅴ_注記事項(1)'!Print_Area</vt:lpstr>
      <vt:lpstr>'Ⅴ_注記事項(2)'!Print_Area</vt:lpstr>
      <vt:lpstr>'Ⅴ_注記事項(3)'!Print_Area</vt:lpstr>
      <vt:lpstr>取扱の注意!Print_Area</vt:lpstr>
      <vt:lpstr>表紙!Print_Area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2026-05-11T08:06:36Z</cp:lastPrinted>
  <dcterms:created xsi:type="dcterms:W3CDTF">2000-12-27T05:57:05Z</dcterms:created>
  <dcterms:modified xsi:type="dcterms:W3CDTF">2026-05-11T08:07:22Z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0x0101003FDF0EAAD2246341881E56F1B65D46BB</vt:lpwstr>
  </property>
  <property fmtid="{D5CDD505-2E9C-101B-9397-08002B2CF9AE}" pid="3" name="MediaServiceImageTags">
    <vt:lpwstr/>
  </property>
</Properties>
</file>